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ЭтаКнига" defaultThemeVersion="124226"/>
  <mc:AlternateContent xmlns:mc="http://schemas.openxmlformats.org/markup-compatibility/2006">
    <mc:Choice Requires="x15">
      <x15ac:absPath xmlns:x15ac="http://schemas.microsoft.com/office/spreadsheetml/2010/11/ac" url="C:\Users\cloudconvert\server\files\tasks\e5bd8d07-eb5b-4cbb-b7d9-901a7ec8ed2b\"/>
    </mc:Choice>
  </mc:AlternateContent>
  <xr:revisionPtr revIDLastSave="0" documentId="8_{F78A59B9-4884-40BF-805F-DE8C55FB0809}" xr6:coauthVersionLast="47" xr6:coauthVersionMax="47" xr10:uidLastSave="{00000000-0000-0000-0000-000000000000}"/>
  <workbookProtection workbookPassword="E79F" lockStructure="1"/>
  <bookViews>
    <workbookView xWindow="390" yWindow="390" windowWidth="11520" windowHeight="7875" xr2:uid="{00000000-000D-0000-FFFF-FFFF00000000}"/>
  </bookViews>
  <sheets>
    <sheet name="Rate" sheetId="1" r:id="rId1"/>
  </sheets>
  <definedNames>
    <definedName name="OLE_LINK3" localSheetId="0">Rate!$A$60</definedName>
    <definedName name="_xlnm.Print_Area" localSheetId="0">Rate!$A$1:$V$62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1" l="1"/>
  <c r="B20" i="1"/>
  <c r="AF20" i="1"/>
  <c r="Z20" i="1" l="1"/>
  <c r="F20" i="1" l="1"/>
  <c r="C21" i="1"/>
  <c r="A21" i="1"/>
  <c r="Z21" i="1" s="1"/>
  <c r="AC20" i="1" l="1"/>
  <c r="A22" i="1"/>
  <c r="Z22" i="1" s="1"/>
  <c r="A23" i="1" l="1"/>
  <c r="Z23" i="1" s="1"/>
  <c r="A24" i="1" l="1"/>
  <c r="Z24" i="1" s="1"/>
  <c r="A25" i="1" l="1"/>
  <c r="Z25" i="1" s="1"/>
  <c r="A26" i="1" l="1"/>
  <c r="Z26" i="1" s="1"/>
  <c r="P20" i="1"/>
  <c r="A27" i="1" l="1"/>
  <c r="Z27" i="1" s="1"/>
  <c r="R20" i="1"/>
  <c r="A28" i="1" l="1"/>
  <c r="Z28" i="1" s="1"/>
  <c r="Q20" i="1"/>
  <c r="S20" i="1"/>
  <c r="M20" i="1"/>
  <c r="L20" i="1"/>
  <c r="L18" i="1" s="1"/>
  <c r="A29" i="1" l="1"/>
  <c r="Z29" i="1" s="1"/>
  <c r="G20" i="1"/>
  <c r="J20" i="1" s="1"/>
  <c r="R18" i="1"/>
  <c r="Q18" i="1"/>
  <c r="K20" i="1" l="1"/>
  <c r="K18" i="1" s="1"/>
  <c r="A30" i="1"/>
  <c r="Z30" i="1" s="1"/>
  <c r="N20" i="1"/>
  <c r="O20" i="1"/>
  <c r="O18" i="1" s="1"/>
  <c r="H20" i="1"/>
  <c r="I20" i="1"/>
  <c r="I18" i="1" s="1"/>
  <c r="A31" i="1" l="1"/>
  <c r="N18" i="1"/>
  <c r="AG14" i="1"/>
  <c r="Z31" i="1" l="1"/>
  <c r="A32" i="1"/>
  <c r="M18" i="1"/>
  <c r="A33" i="1" l="1"/>
  <c r="Z33" i="1" s="1"/>
  <c r="AG15" i="1"/>
  <c r="E20" i="1" s="1"/>
  <c r="A34" i="1" l="1"/>
  <c r="Z34" i="1" s="1"/>
  <c r="H18" i="1"/>
  <c r="A35" i="1" l="1"/>
  <c r="Z35" i="1" s="1"/>
  <c r="P18" i="1"/>
  <c r="A36" i="1" l="1"/>
  <c r="Z36" i="1" s="1"/>
  <c r="S18" i="1"/>
  <c r="D20" i="1" s="1"/>
  <c r="A37" i="1" l="1"/>
  <c r="Z37" i="1" s="1"/>
  <c r="AG13" i="1"/>
  <c r="AH13" i="1"/>
  <c r="X20" i="1"/>
  <c r="Y20" i="1" s="1"/>
  <c r="A38" i="1" l="1"/>
  <c r="Z38" i="1" s="1"/>
  <c r="AD20" i="1"/>
  <c r="AA20" i="1"/>
  <c r="AB20" i="1" s="1"/>
  <c r="AH16" i="1"/>
  <c r="AI16" i="1"/>
  <c r="AG16" i="1"/>
  <c r="AI13" i="1"/>
  <c r="AF25" i="1" l="1"/>
  <c r="B25" i="1" s="1"/>
  <c r="C26" i="1" s="1"/>
  <c r="AF33" i="1"/>
  <c r="B33" i="1" s="1"/>
  <c r="AF35" i="1"/>
  <c r="B35" i="1" s="1"/>
  <c r="AF30" i="1"/>
  <c r="B30" i="1" s="1"/>
  <c r="AF26" i="1"/>
  <c r="B26" i="1" s="1"/>
  <c r="C27" i="1" s="1"/>
  <c r="AF34" i="1"/>
  <c r="B34" i="1" s="1"/>
  <c r="AF27" i="1"/>
  <c r="B27" i="1" s="1"/>
  <c r="C28" i="1" s="1"/>
  <c r="AF38" i="1"/>
  <c r="B38" i="1" s="1"/>
  <c r="C39" i="1" s="1"/>
  <c r="AF28" i="1"/>
  <c r="B28" i="1" s="1"/>
  <c r="C29" i="1" s="1"/>
  <c r="AF36" i="1"/>
  <c r="B36" i="1" s="1"/>
  <c r="C37" i="1" s="1"/>
  <c r="AF29" i="1"/>
  <c r="B29" i="1" s="1"/>
  <c r="C30" i="1" s="1"/>
  <c r="AF37" i="1"/>
  <c r="B37" i="1" s="1"/>
  <c r="C38" i="1" s="1"/>
  <c r="AF21" i="1"/>
  <c r="B21" i="1" s="1"/>
  <c r="AF22" i="1"/>
  <c r="B22" i="1" s="1"/>
  <c r="C23" i="1" s="1"/>
  <c r="AF23" i="1"/>
  <c r="B23" i="1" s="1"/>
  <c r="C24" i="1" s="1"/>
  <c r="AF31" i="1"/>
  <c r="B31" i="1" s="1"/>
  <c r="AF24" i="1"/>
  <c r="B24" i="1" s="1"/>
  <c r="C25" i="1" s="1"/>
  <c r="AF32" i="1"/>
  <c r="B32" i="1" s="1"/>
  <c r="Z32" i="1" s="1"/>
  <c r="AE20" i="1"/>
  <c r="F21" i="1" s="1"/>
  <c r="A39" i="1"/>
  <c r="Z39" i="1" s="1"/>
  <c r="C31" i="1"/>
  <c r="C22" i="1" l="1"/>
  <c r="AF39" i="1"/>
  <c r="B39" i="1" s="1"/>
  <c r="C40" i="1" s="1"/>
  <c r="C32" i="1"/>
  <c r="X38" i="1"/>
  <c r="Y38" i="1"/>
  <c r="AC38" i="1"/>
  <c r="X35" i="1"/>
  <c r="Y35" i="1"/>
  <c r="AC35" i="1"/>
  <c r="C36" i="1"/>
  <c r="X34" i="1"/>
  <c r="AC34" i="1"/>
  <c r="Y34" i="1"/>
  <c r="C35" i="1"/>
  <c r="X37" i="1"/>
  <c r="AC37" i="1"/>
  <c r="Y37" i="1"/>
  <c r="X33" i="1"/>
  <c r="Y33" i="1"/>
  <c r="AC33" i="1"/>
  <c r="C34" i="1"/>
  <c r="X36" i="1"/>
  <c r="Y36" i="1"/>
  <c r="AC36" i="1"/>
  <c r="X32" i="1"/>
  <c r="Y32" i="1"/>
  <c r="AC32" i="1"/>
  <c r="C33" i="1"/>
  <c r="A40" i="1"/>
  <c r="A41" i="1" s="1"/>
  <c r="A42" i="1" s="1"/>
  <c r="A43" i="1" s="1"/>
  <c r="A44" i="1" s="1"/>
  <c r="A45" i="1" s="1"/>
  <c r="A46" i="1" s="1"/>
  <c r="A47" i="1" s="1"/>
  <c r="A48" i="1" s="1"/>
  <c r="A49" i="1" s="1"/>
  <c r="A50" i="1" s="1"/>
  <c r="A51" i="1" s="1"/>
  <c r="A52" i="1" s="1"/>
  <c r="A53" i="1" s="1"/>
  <c r="A54" i="1" s="1"/>
  <c r="A55" i="1" s="1"/>
  <c r="Y28" i="1"/>
  <c r="AC28" i="1"/>
  <c r="Y25" i="1"/>
  <c r="AC25" i="1"/>
  <c r="Y30" i="1"/>
  <c r="AC30" i="1"/>
  <c r="AC23" i="1"/>
  <c r="Y23" i="1"/>
  <c r="AC22" i="1"/>
  <c r="Y22" i="1"/>
  <c r="AC29" i="1"/>
  <c r="Y29" i="1"/>
  <c r="AC27" i="1"/>
  <c r="Y27" i="1"/>
  <c r="AC31" i="1"/>
  <c r="Y31" i="1"/>
  <c r="Y24" i="1"/>
  <c r="AC24" i="1"/>
  <c r="AC26" i="1"/>
  <c r="Y26" i="1"/>
  <c r="Y21" i="1"/>
  <c r="AC21" i="1"/>
  <c r="E21" i="1"/>
  <c r="X21" i="1"/>
  <c r="X23" i="1"/>
  <c r="X28" i="1"/>
  <c r="X24" i="1"/>
  <c r="X30" i="1"/>
  <c r="X25" i="1"/>
  <c r="X26" i="1"/>
  <c r="X22" i="1"/>
  <c r="X29" i="1"/>
  <c r="X27" i="1"/>
  <c r="X31" i="1"/>
  <c r="D21" i="1" l="1"/>
  <c r="Z40" i="1"/>
  <c r="AF40" i="1"/>
  <c r="B40" i="1" s="1"/>
  <c r="C41" i="1" s="1"/>
  <c r="AA32" i="1"/>
  <c r="AB32" i="1" s="1"/>
  <c r="AA36" i="1"/>
  <c r="AB36" i="1" s="1"/>
  <c r="AD36" i="1"/>
  <c r="AA33" i="1"/>
  <c r="AB33" i="1" s="1"/>
  <c r="AD33" i="1"/>
  <c r="X39" i="1"/>
  <c r="Y39" i="1"/>
  <c r="AC39" i="1"/>
  <c r="AA37" i="1"/>
  <c r="AB37" i="1" s="1"/>
  <c r="AD37" i="1"/>
  <c r="AA34" i="1"/>
  <c r="AB34" i="1" s="1"/>
  <c r="AD34" i="1"/>
  <c r="AA38" i="1"/>
  <c r="AB38" i="1" s="1"/>
  <c r="AD38" i="1"/>
  <c r="AA35" i="1"/>
  <c r="AB35" i="1" s="1"/>
  <c r="AD35" i="1"/>
  <c r="AD26" i="1"/>
  <c r="AA26" i="1"/>
  <c r="AB26" i="1" s="1"/>
  <c r="AD24" i="1"/>
  <c r="AA24" i="1"/>
  <c r="AB24" i="1" s="1"/>
  <c r="AA27" i="1"/>
  <c r="AB27" i="1" s="1"/>
  <c r="AD27" i="1"/>
  <c r="AD22" i="1"/>
  <c r="AA22" i="1"/>
  <c r="AB22" i="1" s="1"/>
  <c r="AD30" i="1"/>
  <c r="AA30" i="1"/>
  <c r="AB30" i="1" s="1"/>
  <c r="AA23" i="1"/>
  <c r="AB23" i="1" s="1"/>
  <c r="AD23" i="1"/>
  <c r="AD21" i="1"/>
  <c r="AA21" i="1"/>
  <c r="AB21" i="1" s="1"/>
  <c r="AA31" i="1"/>
  <c r="AB31" i="1" s="1"/>
  <c r="AD31" i="1"/>
  <c r="AD29" i="1"/>
  <c r="AA29" i="1"/>
  <c r="AB29" i="1" s="1"/>
  <c r="AD25" i="1"/>
  <c r="AA25" i="1"/>
  <c r="AB25" i="1" s="1"/>
  <c r="AA28" i="1"/>
  <c r="AB28" i="1" s="1"/>
  <c r="AD28" i="1"/>
  <c r="G21" i="1"/>
  <c r="E22" i="1" s="1"/>
  <c r="Z41" i="1" l="1"/>
  <c r="AF41" i="1"/>
  <c r="B41" i="1" s="1"/>
  <c r="AA39" i="1"/>
  <c r="AB39" i="1" s="1"/>
  <c r="AD39" i="1"/>
  <c r="X40" i="1"/>
  <c r="AC40" i="1"/>
  <c r="Y40" i="1"/>
  <c r="AE21" i="1"/>
  <c r="F22" i="1" s="1"/>
  <c r="G22" i="1"/>
  <c r="AE22" i="1" s="1"/>
  <c r="D22" i="1" l="1"/>
  <c r="C42" i="1"/>
  <c r="Z42" i="1"/>
  <c r="AF42" i="1"/>
  <c r="B42" i="1" s="1"/>
  <c r="X41" i="1"/>
  <c r="Y41" i="1"/>
  <c r="AC41" i="1"/>
  <c r="AA40" i="1"/>
  <c r="AB40" i="1" s="1"/>
  <c r="AD40" i="1"/>
  <c r="F23" i="1"/>
  <c r="E23" i="1"/>
  <c r="C43" i="1" l="1"/>
  <c r="Z43" i="1"/>
  <c r="AF43" i="1"/>
  <c r="B43" i="1" s="1"/>
  <c r="AA41" i="1"/>
  <c r="AB41" i="1" s="1"/>
  <c r="AD41" i="1"/>
  <c r="X42" i="1"/>
  <c r="Y42" i="1"/>
  <c r="AC42" i="1"/>
  <c r="D23" i="1"/>
  <c r="G23" i="1"/>
  <c r="E24" i="1" s="1"/>
  <c r="C44" i="1" l="1"/>
  <c r="AF45" i="1"/>
  <c r="B45" i="1" s="1"/>
  <c r="Z45" i="1"/>
  <c r="AF44" i="1"/>
  <c r="AA42" i="1"/>
  <c r="AB42" i="1" s="1"/>
  <c r="AD42" i="1"/>
  <c r="X43" i="1"/>
  <c r="AC43" i="1"/>
  <c r="Y43" i="1"/>
  <c r="AE23" i="1"/>
  <c r="F24" i="1" s="1"/>
  <c r="G24" i="1"/>
  <c r="D24" i="1" l="1"/>
  <c r="C46" i="1"/>
  <c r="Z44" i="1"/>
  <c r="B44" i="1"/>
  <c r="X44" i="1" s="1"/>
  <c r="Y45" i="1"/>
  <c r="X45" i="1"/>
  <c r="AC45" i="1"/>
  <c r="AF46" i="1"/>
  <c r="B46" i="1" s="1"/>
  <c r="Z46" i="1"/>
  <c r="AA43" i="1"/>
  <c r="AB43" i="1" s="1"/>
  <c r="AD43" i="1"/>
  <c r="AE24" i="1"/>
  <c r="F25" i="1" s="1"/>
  <c r="E25" i="1"/>
  <c r="AC44" i="1" l="1"/>
  <c r="C45" i="1"/>
  <c r="Y44" i="1"/>
  <c r="AA44" i="1" s="1"/>
  <c r="AB44" i="1" s="1"/>
  <c r="C47" i="1"/>
  <c r="AC46" i="1"/>
  <c r="Y46" i="1"/>
  <c r="X46" i="1"/>
  <c r="AF47" i="1"/>
  <c r="B47" i="1" s="1"/>
  <c r="Z47" i="1"/>
  <c r="AA45" i="1"/>
  <c r="AB45" i="1" s="1"/>
  <c r="AD45" i="1"/>
  <c r="D25" i="1"/>
  <c r="G25" i="1"/>
  <c r="C48" i="1" l="1"/>
  <c r="Y47" i="1"/>
  <c r="AC47" i="1"/>
  <c r="X47" i="1"/>
  <c r="AA46" i="1"/>
  <c r="AB46" i="1" s="1"/>
  <c r="AD46" i="1"/>
  <c r="AF48" i="1"/>
  <c r="B48" i="1" s="1"/>
  <c r="Z48" i="1"/>
  <c r="AE25" i="1"/>
  <c r="F26" i="1" s="1"/>
  <c r="E26" i="1"/>
  <c r="C49" i="1" l="1"/>
  <c r="X48" i="1"/>
  <c r="AC48" i="1"/>
  <c r="Y48" i="1"/>
  <c r="AF49" i="1"/>
  <c r="B49" i="1" s="1"/>
  <c r="Z49" i="1"/>
  <c r="AD47" i="1"/>
  <c r="AA47" i="1"/>
  <c r="AB47" i="1" s="1"/>
  <c r="D26" i="1"/>
  <c r="G26" i="1"/>
  <c r="C50" i="1" l="1"/>
  <c r="AC49" i="1"/>
  <c r="X49" i="1"/>
  <c r="Y49" i="1"/>
  <c r="AF50" i="1"/>
  <c r="B50" i="1" s="1"/>
  <c r="Z50" i="1"/>
  <c r="AA48" i="1"/>
  <c r="AB48" i="1" s="1"/>
  <c r="AD48" i="1"/>
  <c r="AE26" i="1"/>
  <c r="F27" i="1" s="1"/>
  <c r="E27" i="1"/>
  <c r="C51" i="1" l="1"/>
  <c r="AC50" i="1"/>
  <c r="X50" i="1"/>
  <c r="Y50" i="1"/>
  <c r="AA49" i="1"/>
  <c r="AB49" i="1" s="1"/>
  <c r="AD49" i="1"/>
  <c r="AF51" i="1"/>
  <c r="B51" i="1" s="1"/>
  <c r="Z51" i="1"/>
  <c r="D27" i="1"/>
  <c r="G27" i="1"/>
  <c r="C52" i="1" l="1"/>
  <c r="AC51" i="1"/>
  <c r="Y51" i="1"/>
  <c r="X51" i="1"/>
  <c r="AF52" i="1"/>
  <c r="B52" i="1" s="1"/>
  <c r="Z52" i="1"/>
  <c r="AA50" i="1"/>
  <c r="AB50" i="1" s="1"/>
  <c r="AD50" i="1"/>
  <c r="AE27" i="1"/>
  <c r="F28" i="1" s="1"/>
  <c r="E28" i="1"/>
  <c r="C53" i="1" l="1"/>
  <c r="AC52" i="1"/>
  <c r="Y52" i="1"/>
  <c r="X52" i="1"/>
  <c r="AA51" i="1"/>
  <c r="AB51" i="1" s="1"/>
  <c r="AD51" i="1"/>
  <c r="AF53" i="1"/>
  <c r="B53" i="1" s="1"/>
  <c r="Z53" i="1"/>
  <c r="D28" i="1"/>
  <c r="G28" i="1"/>
  <c r="C54" i="1" l="1"/>
  <c r="Y53" i="1"/>
  <c r="AC53" i="1"/>
  <c r="X53" i="1"/>
  <c r="AA52" i="1"/>
  <c r="AB52" i="1" s="1"/>
  <c r="AD52" i="1"/>
  <c r="AF54" i="1"/>
  <c r="B54" i="1" s="1"/>
  <c r="Z54" i="1"/>
  <c r="AE28" i="1"/>
  <c r="F29" i="1" s="1"/>
  <c r="E29" i="1"/>
  <c r="G29" i="1" s="1"/>
  <c r="C55" i="1" l="1"/>
  <c r="AC54" i="1"/>
  <c r="X54" i="1"/>
  <c r="Y54" i="1"/>
  <c r="AF55" i="1"/>
  <c r="B55" i="1" s="1"/>
  <c r="A56" i="1"/>
  <c r="Z55" i="1"/>
  <c r="AA53" i="1"/>
  <c r="AB53" i="1" s="1"/>
  <c r="AD53" i="1"/>
  <c r="AE29" i="1"/>
  <c r="F30" i="1" s="1"/>
  <c r="E30" i="1"/>
  <c r="D29" i="1"/>
  <c r="AC55" i="1" l="1"/>
  <c r="Y55" i="1"/>
  <c r="X55" i="1"/>
  <c r="AA54" i="1"/>
  <c r="AB54" i="1" s="1"/>
  <c r="AD54" i="1"/>
  <c r="AF56" i="1"/>
  <c r="B56" i="1" s="1"/>
  <c r="D30" i="1"/>
  <c r="G30" i="1"/>
  <c r="X56" i="1" l="1"/>
  <c r="Y56" i="1"/>
  <c r="AC56" i="1"/>
  <c r="C56" i="1"/>
  <c r="Z56" i="1"/>
  <c r="AA55" i="1"/>
  <c r="AB55" i="1" s="1"/>
  <c r="AD55" i="1"/>
  <c r="AE30" i="1"/>
  <c r="F31" i="1" s="1"/>
  <c r="E31" i="1"/>
  <c r="AA56" i="1" l="1"/>
  <c r="AB56" i="1" s="1"/>
  <c r="D31" i="1"/>
  <c r="G31" i="1"/>
  <c r="AD32" i="1" s="1"/>
  <c r="E32" i="1" l="1"/>
  <c r="AE31" i="1"/>
  <c r="G32" i="1" l="1"/>
  <c r="AE32" i="1" l="1"/>
  <c r="E33" i="1"/>
  <c r="F33" i="1" l="1"/>
  <c r="D33" i="1" s="1"/>
  <c r="F32" i="1"/>
  <c r="D32" i="1" s="1"/>
  <c r="G33" i="1"/>
  <c r="AE33" i="1" l="1"/>
  <c r="F34" i="1" s="1"/>
  <c r="E34" i="1"/>
  <c r="G34" i="1" s="1"/>
  <c r="AE34" i="1" l="1"/>
  <c r="F35" i="1" s="1"/>
  <c r="E35" i="1"/>
  <c r="D34" i="1"/>
  <c r="D35" i="1" l="1"/>
  <c r="G35" i="1"/>
  <c r="AE35" i="1" l="1"/>
  <c r="F36" i="1" s="1"/>
  <c r="E36" i="1"/>
  <c r="D36" i="1" l="1"/>
  <c r="G36" i="1"/>
  <c r="AE36" i="1" l="1"/>
  <c r="F37" i="1" s="1"/>
  <c r="E37" i="1"/>
  <c r="D37" i="1" l="1"/>
  <c r="G37" i="1"/>
  <c r="AE37" i="1" l="1"/>
  <c r="F38" i="1" s="1"/>
  <c r="E38" i="1"/>
  <c r="D38" i="1" l="1"/>
  <c r="G38" i="1"/>
  <c r="AE38" i="1" l="1"/>
  <c r="F39" i="1" s="1"/>
  <c r="E39" i="1"/>
  <c r="D39" i="1" l="1"/>
  <c r="G39" i="1"/>
  <c r="AE39" i="1" l="1"/>
  <c r="F40" i="1" s="1"/>
  <c r="E40" i="1"/>
  <c r="D40" i="1" l="1"/>
  <c r="G40" i="1"/>
  <c r="E41" i="1" l="1"/>
  <c r="G41" i="1" s="1"/>
  <c r="AE40" i="1"/>
  <c r="F41" i="1" s="1"/>
  <c r="E42" i="1" l="1"/>
  <c r="G42" i="1" s="1"/>
  <c r="E43" i="1" s="1"/>
  <c r="G43" i="1" s="1"/>
  <c r="E44" i="1" s="1"/>
  <c r="G44" i="1" s="1"/>
  <c r="D41" i="1"/>
  <c r="AE41" i="1"/>
  <c r="F42" i="1" s="1"/>
  <c r="D42" i="1" l="1"/>
  <c r="E45" i="1"/>
  <c r="G45" i="1" s="1"/>
  <c r="E46" i="1" s="1"/>
  <c r="G46" i="1" s="1"/>
  <c r="E47" i="1" s="1"/>
  <c r="G47" i="1" s="1"/>
  <c r="E48" i="1" s="1"/>
  <c r="G48" i="1" s="1"/>
  <c r="E49" i="1" s="1"/>
  <c r="G49" i="1" s="1"/>
  <c r="AE42" i="1"/>
  <c r="F43" i="1" s="1"/>
  <c r="D43" i="1" s="1"/>
  <c r="E50" i="1" l="1"/>
  <c r="G50" i="1" s="1"/>
  <c r="E51" i="1" s="1"/>
  <c r="G51" i="1" s="1"/>
  <c r="E52" i="1" s="1"/>
  <c r="G52" i="1" s="1"/>
  <c r="E53" i="1" s="1"/>
  <c r="G53" i="1" s="1"/>
  <c r="E54" i="1" s="1"/>
  <c r="G54" i="1" s="1"/>
  <c r="E55" i="1" s="1"/>
  <c r="G55" i="1" s="1"/>
  <c r="AD56" i="1" s="1"/>
  <c r="AD44" i="1"/>
  <c r="AE43" i="1"/>
  <c r="F44" i="1" s="1"/>
  <c r="D44" i="1" s="1"/>
  <c r="AE44" i="1" l="1"/>
  <c r="F45" i="1" s="1"/>
  <c r="D45" i="1" s="1"/>
  <c r="AE45" i="1" l="1"/>
  <c r="F46" i="1" s="1"/>
  <c r="D46" i="1" s="1"/>
  <c r="J18" i="1"/>
  <c r="AE46" i="1" l="1"/>
  <c r="F47" i="1" s="1"/>
  <c r="D47" i="1" s="1"/>
  <c r="AE47" i="1" l="1"/>
  <c r="F48" i="1" s="1"/>
  <c r="D48" i="1" s="1"/>
  <c r="AE48" i="1" l="1"/>
  <c r="F49" i="1" s="1"/>
  <c r="D49" i="1" s="1"/>
  <c r="AE49" i="1" l="1"/>
  <c r="F50" i="1" s="1"/>
  <c r="D50" i="1" s="1"/>
  <c r="AE50" i="1" l="1"/>
  <c r="F51" i="1" s="1"/>
  <c r="D51" i="1" s="1"/>
  <c r="AE51" i="1" l="1"/>
  <c r="F52" i="1" s="1"/>
  <c r="D52" i="1" s="1"/>
  <c r="AE52" i="1" l="1"/>
  <c r="F53" i="1" s="1"/>
  <c r="D53" i="1" s="1"/>
  <c r="AE53" i="1" l="1"/>
  <c r="F54" i="1" s="1"/>
  <c r="D54" i="1" s="1"/>
  <c r="AE54" i="1" l="1"/>
  <c r="F55" i="1" s="1"/>
  <c r="D55" i="1" s="1"/>
  <c r="E56" i="1" l="1"/>
  <c r="AE55" i="1"/>
  <c r="E57" i="1" l="1"/>
  <c r="E18" i="1"/>
  <c r="G56" i="1"/>
  <c r="AE56" i="1" s="1"/>
  <c r="F56" i="1" s="1"/>
  <c r="F57" i="1" l="1"/>
  <c r="U20" i="1" s="1"/>
  <c r="F18" i="1"/>
  <c r="D56" i="1"/>
  <c r="D57" i="1" l="1"/>
  <c r="V20" i="1" l="1"/>
  <c r="E11" i="1"/>
</calcChain>
</file>

<file path=xl/sharedStrings.xml><?xml version="1.0" encoding="utf-8"?>
<sst xmlns="http://schemas.openxmlformats.org/spreadsheetml/2006/main" count="63" uniqueCount="57">
  <si>
    <t>Вихідні параметри</t>
  </si>
  <si>
    <t>Вид продукту</t>
  </si>
  <si>
    <t>Бонус</t>
  </si>
  <si>
    <t>факт/360</t>
  </si>
  <si>
    <t>Приблизна дата видачі кредиту</t>
  </si>
  <si>
    <t xml:space="preserve">Метод нарахування процентних доходів </t>
  </si>
  <si>
    <t>факт/факт</t>
  </si>
  <si>
    <t>Строк кредитування</t>
  </si>
  <si>
    <t>Термін дії кредиту відповідає строку дії картки</t>
  </si>
  <si>
    <t>Ні</t>
  </si>
  <si>
    <t>Сума кредиту, грн</t>
  </si>
  <si>
    <t xml:space="preserve">Процентна ставка, % річних </t>
  </si>
  <si>
    <t>Місяць початку зниження ліміту</t>
  </si>
  <si>
    <t>Тепле житло</t>
  </si>
  <si>
    <t>Заставна вартість предмету застави/іпотеки</t>
  </si>
  <si>
    <t>Загальні витрати по кредиту</t>
  </si>
  <si>
    <t>поля підлягають коригуванню</t>
  </si>
  <si>
    <t>Місяці</t>
  </si>
  <si>
    <t>Дата</t>
  </si>
  <si>
    <t>Кількість днів для розрахунку %% для вказаного періоду</t>
  </si>
  <si>
    <t>Сума платежу за розрахунковий період</t>
  </si>
  <si>
    <t>У тому числі:</t>
  </si>
  <si>
    <t>Орієнтовна реальна процентна ставка, %</t>
  </si>
  <si>
    <t>Орієнтовна денна процентна ставка, %</t>
  </si>
  <si>
    <t>Орієнтовна загальна вартість кредиту, грн</t>
  </si>
  <si>
    <t>Кількість днів для розрахунку %% - для 1го періоду</t>
  </si>
  <si>
    <t>Кількість днів для розрахунку %% - для останнього періоду</t>
  </si>
  <si>
    <t>Кількість днів для розрахунку %% - до 20 числа</t>
  </si>
  <si>
    <t>Кількість днів для розрахунку %% - після 20 числа</t>
  </si>
  <si>
    <t>360/365/366</t>
  </si>
  <si>
    <t>1й та останній міс</t>
  </si>
  <si>
    <t>Інші періоди</t>
  </si>
  <si>
    <t>Погашення основної суми кредиту</t>
  </si>
  <si>
    <t>Проценти за користування кредитом</t>
  </si>
  <si>
    <t>Залишок заборгованості</t>
  </si>
  <si>
    <t>Платежі за надані додаткові та/або супутні послуги на користь банку, у тому числі за:</t>
  </si>
  <si>
    <t>Плажеті за надані додаткові та/або супутні послуги на користь третіх осіб, пов'язаних із:</t>
  </si>
  <si>
    <t>срок по карточкам в зависимости от параметра</t>
  </si>
  <si>
    <t>срок начала погашения</t>
  </si>
  <si>
    <t>Комісія за надання  кредиту, %</t>
  </si>
  <si>
    <t>Розрахунково касове обслуговування, %</t>
  </si>
  <si>
    <t>За надання кредиту готівкою, %</t>
  </si>
  <si>
    <t xml:space="preserve">За безготівкове перерахування кредитних коштів, % </t>
  </si>
  <si>
    <t>Розрахунково-касове обслуговування карткового 
рахунку з оформленням картки, грн</t>
  </si>
  <si>
    <t>Інші послуги банку (зазначається на назва послуги), грн</t>
  </si>
  <si>
    <t>Страхуванням працездатності, %</t>
  </si>
  <si>
    <t>Страхуванням цивільної відповідальності, грн</t>
  </si>
  <si>
    <t xml:space="preserve">Страхуванням іпотеки/ застави (КАСКО), %                                                     </t>
  </si>
  <si>
    <t xml:space="preserve">послугами нотаріусів, грн </t>
  </si>
  <si>
    <t xml:space="preserve">послугами оцінювача, грн                                       </t>
  </si>
  <si>
    <t>Іншими послугами третіх осіб, грн</t>
  </si>
  <si>
    <t>Всього:</t>
  </si>
  <si>
    <t>X</t>
  </si>
  <si>
    <t>Усього:</t>
  </si>
  <si>
    <t xml:space="preserve">Всі платежі в Таблиці обчислення орієнтовної загальної вартості кредиту та орієнтовної реальної річної процентної ставки (далі  - Таблиця) наведені у гривні.
Наведена Таблиця є репрезентативною та базується на обраних позичальником умовах кредитування, та на припущенні, що кредит позичальником буде отримано в повному обсязі відповідно до суми, встановленої кредитним договором, а погашення кредиту буде проводитись відповідно до графіку, визначеного кредитним договором, кредитний договір  залишатиметься дійсним протягом всього строку кредитування, а Банк і позичальник виконають свої обов’язки на умовах та у строки, визначені в кредитному договорі. 
Орієнтовна реальна річна процентна ставка обчислена на основі припущення, щокредитні кошти готівкою та процентна ставка та інші платежі за додаткові та супутні послуги Банку залишатимуться незмінними та застосовуватимуться протягом строку дії кредитного договору. 
Орієнтовна вартість додаткової / супутньої послуги третіх осіб визначається Банком за аналогічними, вже укладеними договорами про споживчий кредит за попередні три місяці, або у разі відсутності таких договорів за середньою вартістю такої послуги, визначеною Банком за результатами аналізу вартості послуг, що пропонуються щонайменше трьома постачальниками на ринку таких послуг.
Використання інших способів надання кредиту та/або зміна інших умов кредитування можуть мати наслідком застосування іншої реальної річної процентної ставки для позичальника. Протягом строку дії кредитного договору значення орієнтовної реальної річної процентної ставки  може змінюватися як в сторону збільшення, так і в сторону зменшення. У цьому випадку зміни до Таблиці не вносяться (якщо таке не вимагає одна зі сторін).
</t>
  </si>
  <si>
    <t>Розрахунок витрат за кредитом "Кредитна лінія "Бонус" під поруку юридичної особи</t>
  </si>
  <si>
    <t>від 5000 грн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</si>
</sst>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0"/>
      <name val="Arial Cyr"/>
      <charset val="204"/>
    </font>
    <font>
      <sz val="10"/>
      <name val="Arial Cyr"/>
      <family val="2"/>
      <charset val="204"/>
    </font>
    <font>
      <b/>
      <sz val="10"/>
      <name val="Arial Cyr"/>
      <family val="2"/>
      <charset val="204"/>
    </font>
    <font>
      <sz val="8"/>
      <name val="Arial Cyr"/>
      <family val="2"/>
      <charset val="204"/>
    </font>
    <font>
      <i/>
      <sz val="10"/>
      <name val="Arial Cyr"/>
      <family val="2"/>
      <charset val="204"/>
    </font>
    <font>
      <sz val="10"/>
      <color theme="0" tint="-0.249977111117893"/>
      <name val="Arial Cyr"/>
      <family val="2"/>
      <charset val="204"/>
    </font>
    <font>
      <sz val="12"/>
      <name val="Times New Roman"/>
      <family val="1"/>
      <charset val="204"/>
    </font>
    <font>
      <i/>
      <sz val="14"/>
      <name val="Times New Roman Cyr"/>
      <family val="1"/>
      <charset val="204"/>
    </font>
    <font>
      <i/>
      <sz val="9"/>
      <name val="Times New Roman Cyr"/>
      <family val="1"/>
      <charset val="204"/>
    </font>
    <font>
      <b/>
      <sz val="12"/>
      <name val="Times New Roman"/>
      <family val="1"/>
      <charset val="204"/>
    </font>
    <font>
      <b/>
      <sz val="14"/>
      <name val="Arial Cyr"/>
      <family val="2"/>
      <charset val="204"/>
    </font>
    <font>
      <b/>
      <i/>
      <sz val="10"/>
      <name val="Arial Cyr"/>
      <family val="2"/>
      <charset val="204"/>
    </font>
    <font>
      <b/>
      <sz val="8"/>
      <name val="Arial Cyr"/>
      <family val="2"/>
      <charset val="204"/>
    </font>
    <font>
      <b/>
      <i/>
      <sz val="10"/>
      <name val="Arial Cyr"/>
      <charset val="204"/>
    </font>
    <font>
      <i/>
      <sz val="10"/>
      <name val="Arial Cyr"/>
      <charset val="204"/>
    </font>
    <font>
      <b/>
      <sz val="10"/>
      <name val="Arial Cyr"/>
      <charset val="204"/>
    </font>
    <font>
      <b/>
      <sz val="10"/>
      <color rgb="FFFF0000"/>
      <name val="Arial Cyr"/>
      <family val="2"/>
      <charset val="204"/>
    </font>
    <font>
      <sz val="10"/>
      <color rgb="FFFF0000"/>
      <name val="Arial Cyr"/>
      <family val="2"/>
      <charset val="204"/>
    </font>
  </fonts>
  <fills count="5">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100">
    <xf numFmtId="0" fontId="0" fillId="0" borderId="0" xfId="0"/>
    <xf numFmtId="0" fontId="0" fillId="0" borderId="0" xfId="0" applyProtection="1">
      <protection hidden="1"/>
    </xf>
    <xf numFmtId="14" fontId="0" fillId="0" borderId="0" xfId="0" applyNumberFormat="1" applyAlignment="1" applyProtection="1">
      <alignment horizontal="center"/>
      <protection hidden="1"/>
    </xf>
    <xf numFmtId="0" fontId="5" fillId="0" borderId="0" xfId="0" applyFont="1" applyProtection="1">
      <protection hidden="1"/>
    </xf>
    <xf numFmtId="0" fontId="1" fillId="0" borderId="0" xfId="0" applyFont="1" applyProtection="1">
      <protection hidden="1"/>
    </xf>
    <xf numFmtId="14" fontId="11" fillId="0" borderId="0" xfId="0" applyNumberFormat="1" applyFont="1" applyAlignment="1" applyProtection="1">
      <alignment horizontal="left"/>
      <protection hidden="1"/>
    </xf>
    <xf numFmtId="14" fontId="2" fillId="0" borderId="1" xfId="0" applyNumberFormat="1" applyFont="1" applyBorder="1" applyAlignment="1" applyProtection="1">
      <alignment horizontal="left"/>
      <protection hidden="1"/>
    </xf>
    <xf numFmtId="14" fontId="0" fillId="0" borderId="2" xfId="0" applyNumberFormat="1" applyBorder="1" applyAlignment="1" applyProtection="1">
      <alignment horizontal="center"/>
      <protection hidden="1"/>
    </xf>
    <xf numFmtId="0" fontId="0" fillId="0" borderId="2" xfId="0" applyBorder="1" applyProtection="1">
      <protection hidden="1"/>
    </xf>
    <xf numFmtId="14" fontId="2" fillId="0" borderId="0" xfId="0" applyNumberFormat="1" applyFont="1" applyAlignment="1" applyProtection="1">
      <alignment horizontal="left"/>
      <protection hidden="1"/>
    </xf>
    <xf numFmtId="0" fontId="1" fillId="0" borderId="0" xfId="0" applyFont="1" applyAlignment="1" applyProtection="1">
      <alignment horizontal="center"/>
      <protection hidden="1"/>
    </xf>
    <xf numFmtId="0" fontId="1" fillId="0" borderId="0" xfId="0" applyFont="1" applyAlignment="1" applyProtection="1">
      <alignment horizontal="left"/>
      <protection hidden="1"/>
    </xf>
    <xf numFmtId="14" fontId="2" fillId="0" borderId="2" xfId="0" applyNumberFormat="1" applyFont="1" applyBorder="1" applyAlignment="1" applyProtection="1">
      <alignment horizontal="left"/>
      <protection hidden="1"/>
    </xf>
    <xf numFmtId="0" fontId="2" fillId="0" borderId="2" xfId="0" applyFont="1" applyBorder="1" applyProtection="1">
      <protection hidden="1"/>
    </xf>
    <xf numFmtId="0" fontId="2" fillId="0" borderId="1" xfId="0" applyFont="1" applyBorder="1" applyProtection="1">
      <protection hidden="1"/>
    </xf>
    <xf numFmtId="0" fontId="4" fillId="0" borderId="2" xfId="0" applyFont="1" applyBorder="1" applyProtection="1">
      <protection hidden="1"/>
    </xf>
    <xf numFmtId="0" fontId="13" fillId="0" borderId="0" xfId="0" applyFont="1" applyProtection="1">
      <protection hidden="1"/>
    </xf>
    <xf numFmtId="0" fontId="2" fillId="0" borderId="0" xfId="0" applyFont="1" applyProtection="1">
      <protection hidden="1"/>
    </xf>
    <xf numFmtId="14" fontId="2" fillId="0" borderId="2" xfId="0" applyNumberFormat="1" applyFont="1" applyBorder="1" applyAlignment="1" applyProtection="1">
      <alignment horizontal="center"/>
      <protection hidden="1"/>
    </xf>
    <xf numFmtId="0" fontId="14" fillId="0" borderId="0" xfId="0" applyFont="1" applyProtection="1">
      <protection hidden="1"/>
    </xf>
    <xf numFmtId="14" fontId="5" fillId="0" borderId="0" xfId="0" applyNumberFormat="1" applyFont="1" applyAlignment="1" applyProtection="1">
      <alignment horizontal="left"/>
      <protection hidden="1"/>
    </xf>
    <xf numFmtId="0" fontId="1" fillId="0" borderId="0" xfId="0" applyFont="1" applyAlignment="1" applyProtection="1">
      <alignment horizontal="center" vertical="center" wrapText="1"/>
      <protection hidden="1"/>
    </xf>
    <xf numFmtId="0" fontId="12" fillId="0" borderId="5" xfId="0" applyFont="1" applyBorder="1" applyAlignment="1" applyProtection="1">
      <alignment wrapText="1"/>
      <protection hidden="1"/>
    </xf>
    <xf numFmtId="4" fontId="2" fillId="0" borderId="5" xfId="0" applyNumberFormat="1" applyFont="1" applyBorder="1" applyAlignment="1" applyProtection="1">
      <alignment horizontal="center" wrapText="1"/>
      <protection hidden="1"/>
    </xf>
    <xf numFmtId="0" fontId="2" fillId="0" borderId="5" xfId="0" applyFont="1" applyBorder="1" applyAlignment="1" applyProtection="1">
      <alignment horizontal="center" wrapText="1"/>
      <protection hidden="1"/>
    </xf>
    <xf numFmtId="4" fontId="2" fillId="0" borderId="0" xfId="0" applyNumberFormat="1" applyFont="1" applyAlignment="1" applyProtection="1">
      <alignment horizontal="center" wrapText="1"/>
      <protection hidden="1"/>
    </xf>
    <xf numFmtId="0" fontId="0" fillId="0" borderId="5" xfId="0" applyBorder="1" applyAlignment="1" applyProtection="1">
      <alignment wrapText="1"/>
      <protection hidden="1"/>
    </xf>
    <xf numFmtId="14" fontId="2" fillId="0" borderId="5" xfId="0" applyNumberFormat="1" applyFont="1" applyBorder="1" applyAlignment="1" applyProtection="1">
      <alignment horizontal="center" wrapText="1"/>
      <protection hidden="1"/>
    </xf>
    <xf numFmtId="0" fontId="0" fillId="0" borderId="5" xfId="0" applyBorder="1" applyAlignment="1" applyProtection="1">
      <alignment horizontal="center" wrapText="1"/>
      <protection hidden="1"/>
    </xf>
    <xf numFmtId="0" fontId="2" fillId="0" borderId="0" xfId="0" applyFont="1" applyAlignment="1" applyProtection="1">
      <alignment horizontal="center" wrapText="1"/>
      <protection hidden="1"/>
    </xf>
    <xf numFmtId="0" fontId="1" fillId="0" borderId="0" xfId="0" applyFont="1" applyAlignment="1" applyProtection="1">
      <alignment wrapText="1"/>
      <protection hidden="1"/>
    </xf>
    <xf numFmtId="14" fontId="0" fillId="0" borderId="5" xfId="0" applyNumberFormat="1" applyBorder="1" applyAlignment="1" applyProtection="1">
      <alignment horizontal="center"/>
      <protection hidden="1"/>
    </xf>
    <xf numFmtId="4" fontId="2" fillId="0" borderId="5" xfId="0" applyNumberFormat="1" applyFont="1" applyBorder="1" applyProtection="1">
      <protection hidden="1"/>
    </xf>
    <xf numFmtId="4" fontId="0" fillId="0" borderId="5" xfId="0" applyNumberFormat="1" applyBorder="1" applyProtection="1">
      <protection hidden="1"/>
    </xf>
    <xf numFmtId="3" fontId="0" fillId="0" borderId="5" xfId="0" applyNumberFormat="1" applyBorder="1" applyAlignment="1" applyProtection="1">
      <alignment horizontal="right" wrapText="1"/>
      <protection hidden="1"/>
    </xf>
    <xf numFmtId="2" fontId="1" fillId="0" borderId="0" xfId="0" applyNumberFormat="1" applyFont="1" applyAlignment="1" applyProtection="1">
      <alignment horizontal="center" wrapText="1"/>
      <protection hidden="1"/>
    </xf>
    <xf numFmtId="14" fontId="1" fillId="0" borderId="0" xfId="0" applyNumberFormat="1" applyFont="1" applyAlignment="1" applyProtection="1">
      <alignment wrapText="1"/>
      <protection hidden="1"/>
    </xf>
    <xf numFmtId="0" fontId="0" fillId="0" borderId="5" xfId="0" applyBorder="1" applyProtection="1">
      <protection hidden="1"/>
    </xf>
    <xf numFmtId="0" fontId="0" fillId="0" borderId="5" xfId="0" applyBorder="1" applyAlignment="1" applyProtection="1">
      <alignment horizontal="center"/>
      <protection hidden="1"/>
    </xf>
    <xf numFmtId="2" fontId="0" fillId="0" borderId="5" xfId="0" applyNumberFormat="1" applyBorder="1" applyAlignment="1" applyProtection="1">
      <alignment horizontal="right" wrapText="1"/>
      <protection hidden="1"/>
    </xf>
    <xf numFmtId="2" fontId="1" fillId="0" borderId="5" xfId="0" applyNumberFormat="1" applyFont="1" applyBorder="1" applyProtection="1">
      <protection hidden="1"/>
    </xf>
    <xf numFmtId="2" fontId="1" fillId="0" borderId="0" xfId="0" applyNumberFormat="1" applyFont="1" applyProtection="1">
      <protection hidden="1"/>
    </xf>
    <xf numFmtId="2" fontId="0" fillId="0" borderId="5" xfId="0" applyNumberFormat="1" applyBorder="1" applyProtection="1">
      <protection hidden="1"/>
    </xf>
    <xf numFmtId="0" fontId="0" fillId="0" borderId="0" xfId="0" applyAlignment="1" applyProtection="1">
      <alignment horizontal="center"/>
      <protection hidden="1"/>
    </xf>
    <xf numFmtId="2" fontId="0" fillId="0" borderId="0" xfId="0" applyNumberFormat="1" applyProtection="1">
      <protection hidden="1"/>
    </xf>
    <xf numFmtId="0" fontId="6" fillId="0" borderId="0" xfId="0" applyFont="1" applyAlignment="1" applyProtection="1">
      <alignment vertical="top" wrapText="1"/>
      <protection hidden="1"/>
    </xf>
    <xf numFmtId="0" fontId="7" fillId="0" borderId="0" xfId="0" applyFont="1" applyProtection="1">
      <protection hidden="1"/>
    </xf>
    <xf numFmtId="0" fontId="8" fillId="0" borderId="0" xfId="0" applyFont="1" applyProtection="1">
      <protection hidden="1"/>
    </xf>
    <xf numFmtId="0" fontId="9" fillId="0" borderId="0" xfId="0" applyFont="1" applyAlignment="1" applyProtection="1">
      <alignment horizontal="justify" vertical="top" wrapText="1"/>
      <protection hidden="1"/>
    </xf>
    <xf numFmtId="0" fontId="2" fillId="0" borderId="5" xfId="0" applyFont="1" applyBorder="1" applyAlignment="1" applyProtection="1">
      <alignment horizontal="center" vertical="center" wrapText="1"/>
      <protection hidden="1"/>
    </xf>
    <xf numFmtId="2" fontId="2" fillId="0" borderId="5" xfId="0" applyNumberFormat="1" applyFont="1" applyBorder="1" applyProtection="1">
      <protection hidden="1"/>
    </xf>
    <xf numFmtId="14" fontId="2" fillId="0" borderId="6" xfId="0" applyNumberFormat="1" applyFont="1" applyBorder="1" applyAlignment="1" applyProtection="1">
      <alignment vertical="center" wrapText="1"/>
      <protection hidden="1"/>
    </xf>
    <xf numFmtId="14" fontId="2" fillId="0" borderId="7" xfId="0" applyNumberFormat="1" applyFont="1" applyBorder="1" applyAlignment="1" applyProtection="1">
      <alignment vertical="center" wrapText="1"/>
      <protection hidden="1"/>
    </xf>
    <xf numFmtId="14" fontId="2" fillId="0" borderId="8" xfId="0" applyNumberFormat="1" applyFont="1" applyBorder="1" applyAlignment="1" applyProtection="1">
      <alignment horizontal="center" vertical="center" wrapText="1"/>
      <protection hidden="1"/>
    </xf>
    <xf numFmtId="0" fontId="1" fillId="0" borderId="9" xfId="0" applyFont="1" applyBorder="1" applyAlignment="1" applyProtection="1">
      <alignment horizontal="centerContinuous" vertical="center" wrapText="1"/>
      <protection hidden="1"/>
    </xf>
    <xf numFmtId="0" fontId="0" fillId="0" borderId="10" xfId="0" applyBorder="1" applyAlignment="1" applyProtection="1">
      <alignment horizontal="centerContinuous" vertical="center" wrapText="1"/>
      <protection hidden="1"/>
    </xf>
    <xf numFmtId="0" fontId="0" fillId="0" borderId="11" xfId="0" applyBorder="1" applyAlignment="1" applyProtection="1">
      <alignment horizontal="centerContinuous" vertical="center" wrapText="1"/>
      <protection hidden="1"/>
    </xf>
    <xf numFmtId="0" fontId="0" fillId="2" borderId="0" xfId="0" applyFill="1" applyProtection="1">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14" fontId="2" fillId="2" borderId="0" xfId="0" applyNumberFormat="1" applyFont="1" applyFill="1" applyAlignment="1" applyProtection="1">
      <alignment horizontal="center" vertical="center" wrapText="1"/>
      <protection hidden="1"/>
    </xf>
    <xf numFmtId="4" fontId="2" fillId="2" borderId="0" xfId="0" applyNumberFormat="1" applyFont="1" applyFill="1" applyAlignment="1" applyProtection="1">
      <alignment horizontal="center" wrapText="1"/>
      <protection hidden="1"/>
    </xf>
    <xf numFmtId="0" fontId="0" fillId="2" borderId="0" xfId="0" applyFill="1" applyAlignment="1" applyProtection="1">
      <alignment horizontal="center"/>
      <protection hidden="1"/>
    </xf>
    <xf numFmtId="2" fontId="1" fillId="2" borderId="0" xfId="0" applyNumberFormat="1" applyFont="1" applyFill="1" applyProtection="1">
      <protection hidden="1"/>
    </xf>
    <xf numFmtId="0" fontId="15" fillId="0" borderId="4" xfId="0" applyFont="1" applyBorder="1" applyAlignment="1" applyProtection="1">
      <alignment horizontal="center" vertical="center"/>
      <protection hidden="1"/>
    </xf>
    <xf numFmtId="0" fontId="13" fillId="0" borderId="13" xfId="0" applyFont="1" applyBorder="1" applyProtection="1">
      <protection hidden="1"/>
    </xf>
    <xf numFmtId="0" fontId="0" fillId="0" borderId="13" xfId="0" applyBorder="1" applyProtection="1">
      <protection hidden="1"/>
    </xf>
    <xf numFmtId="0" fontId="0" fillId="0" borderId="14" xfId="0" applyBorder="1" applyProtection="1">
      <protection hidden="1"/>
    </xf>
    <xf numFmtId="14" fontId="6" fillId="0" borderId="0" xfId="0" applyNumberFormat="1" applyFont="1" applyAlignment="1" applyProtection="1">
      <alignment vertical="top" wrapText="1"/>
      <protection hidden="1"/>
    </xf>
    <xf numFmtId="4" fontId="1" fillId="0" borderId="4" xfId="0" applyNumberFormat="1" applyFont="1" applyBorder="1" applyProtection="1">
      <protection hidden="1"/>
    </xf>
    <xf numFmtId="14" fontId="1" fillId="3" borderId="4" xfId="0" applyNumberFormat="1" applyFont="1" applyFill="1" applyBorder="1" applyAlignment="1" applyProtection="1">
      <alignment horizontal="right" vertical="center"/>
      <protection locked="0" hidden="1"/>
    </xf>
    <xf numFmtId="3" fontId="1" fillId="3" borderId="4" xfId="0" applyNumberFormat="1" applyFont="1" applyFill="1" applyBorder="1" applyAlignment="1" applyProtection="1">
      <alignment horizontal="right" vertical="center"/>
      <protection locked="0" hidden="1"/>
    </xf>
    <xf numFmtId="0" fontId="0" fillId="3" borderId="12" xfId="0" applyFill="1" applyBorder="1" applyProtection="1">
      <protection hidden="1"/>
    </xf>
    <xf numFmtId="0" fontId="0" fillId="3" borderId="4" xfId="0" applyFill="1" applyBorder="1" applyAlignment="1" applyProtection="1">
      <alignment horizontal="right" vertical="center"/>
      <protection hidden="1"/>
    </xf>
    <xf numFmtId="164" fontId="2" fillId="3" borderId="5" xfId="0" applyNumberFormat="1" applyFont="1" applyFill="1" applyBorder="1" applyAlignment="1" applyProtection="1">
      <alignment horizontal="center" wrapText="1"/>
      <protection hidden="1"/>
    </xf>
    <xf numFmtId="10" fontId="2" fillId="3" borderId="5" xfId="0" applyNumberFormat="1" applyFont="1" applyFill="1" applyBorder="1" applyAlignment="1" applyProtection="1">
      <alignment horizontal="center" wrapText="1"/>
      <protection hidden="1"/>
    </xf>
    <xf numFmtId="2" fontId="2" fillId="3" borderId="5" xfId="0" applyNumberFormat="1" applyFont="1" applyFill="1" applyBorder="1" applyAlignment="1" applyProtection="1">
      <alignment horizontal="center" wrapText="1"/>
      <protection hidden="1"/>
    </xf>
    <xf numFmtId="0" fontId="17" fillId="0" borderId="0" xfId="0" applyFont="1" applyProtection="1">
      <protection hidden="1"/>
    </xf>
    <xf numFmtId="0" fontId="1" fillId="0" borderId="4" xfId="0" applyFont="1" applyBorder="1" applyAlignment="1" applyProtection="1">
      <alignment horizontal="right" vertical="center"/>
      <protection locked="0" hidden="1"/>
    </xf>
    <xf numFmtId="2" fontId="1" fillId="0" borderId="4" xfId="0" applyNumberFormat="1" applyFont="1" applyBorder="1" applyProtection="1">
      <protection hidden="1"/>
    </xf>
    <xf numFmtId="10" fontId="16" fillId="0" borderId="5" xfId="1" applyNumberFormat="1" applyFont="1" applyFill="1" applyBorder="1" applyAlignment="1" applyProtection="1">
      <protection hidden="1"/>
    </xf>
    <xf numFmtId="0" fontId="1" fillId="4" borderId="4" xfId="0" applyFont="1" applyFill="1" applyBorder="1" applyAlignment="1" applyProtection="1">
      <alignment horizontal="right" vertical="center"/>
      <protection locked="0" hidden="1"/>
    </xf>
    <xf numFmtId="0" fontId="1" fillId="4" borderId="3" xfId="0" applyFont="1" applyFill="1" applyBorder="1" applyAlignment="1" applyProtection="1">
      <alignment horizontal="center"/>
      <protection hidden="1"/>
    </xf>
    <xf numFmtId="0" fontId="1" fillId="4" borderId="15" xfId="0" applyFont="1" applyFill="1" applyBorder="1" applyAlignment="1" applyProtection="1">
      <alignment horizontal="center"/>
      <protection hidden="1"/>
    </xf>
    <xf numFmtId="1" fontId="0" fillId="0" borderId="5" xfId="0" applyNumberFormat="1" applyBorder="1" applyAlignment="1" applyProtection="1">
      <alignment horizontal="center"/>
      <protection hidden="1"/>
    </xf>
    <xf numFmtId="14" fontId="0" fillId="0" borderId="0" xfId="0" applyNumberFormat="1" applyProtection="1">
      <protection hidden="1"/>
    </xf>
    <xf numFmtId="14" fontId="0" fillId="2" borderId="0" xfId="0" applyNumberFormat="1" applyFill="1" applyProtection="1">
      <protection hidden="1"/>
    </xf>
    <xf numFmtId="2" fontId="2" fillId="3" borderId="5" xfId="0" applyNumberFormat="1" applyFont="1" applyFill="1" applyBorder="1" applyAlignment="1" applyProtection="1">
      <alignment horizontal="center" wrapText="1"/>
      <protection locked="0" hidden="1"/>
    </xf>
    <xf numFmtId="0" fontId="9" fillId="0" borderId="0" xfId="0" applyFont="1" applyAlignment="1" applyProtection="1">
      <alignment horizontal="center" vertical="top" wrapText="1"/>
      <protection hidden="1"/>
    </xf>
    <xf numFmtId="0" fontId="2" fillId="0" borderId="5" xfId="0" applyFont="1" applyBorder="1" applyAlignment="1" applyProtection="1">
      <alignment horizontal="center" vertical="center"/>
      <protection hidden="1"/>
    </xf>
    <xf numFmtId="14" fontId="2" fillId="0" borderId="5" xfId="0" applyNumberFormat="1" applyFont="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6" fillId="0" borderId="0" xfId="0" applyFont="1" applyAlignment="1" applyProtection="1">
      <alignment horizontal="left" vertical="center" wrapText="1"/>
      <protection hidden="1"/>
    </xf>
    <xf numFmtId="0" fontId="0" fillId="0" borderId="5" xfId="0" applyBorder="1" applyAlignment="1" applyProtection="1">
      <alignment horizontal="center" vertical="center" wrapText="1"/>
      <protection hidden="1"/>
    </xf>
    <xf numFmtId="0" fontId="2" fillId="0" borderId="0" xfId="0" applyFont="1" applyAlignment="1" applyProtection="1">
      <alignment vertical="center" wrapText="1" shrinkToFit="1"/>
      <protection hidden="1"/>
    </xf>
    <xf numFmtId="0" fontId="2" fillId="0" borderId="4" xfId="0" applyFont="1" applyBorder="1" applyAlignment="1" applyProtection="1">
      <alignment horizontal="center"/>
      <protection hidden="1"/>
    </xf>
    <xf numFmtId="0" fontId="2" fillId="0" borderId="15" xfId="0" applyFont="1" applyBorder="1" applyAlignment="1" applyProtection="1">
      <alignment horizontal="center"/>
      <protection hidden="1"/>
    </xf>
    <xf numFmtId="0" fontId="2" fillId="0" borderId="5" xfId="0" applyFont="1" applyBorder="1" applyAlignment="1" applyProtection="1">
      <alignment horizontal="center"/>
      <protection hidden="1"/>
    </xf>
    <xf numFmtId="0" fontId="10" fillId="0" borderId="0" xfId="0" applyFont="1" applyAlignment="1" applyProtection="1">
      <alignment horizontal="center"/>
      <protection hidden="1"/>
    </xf>
    <xf numFmtId="0" fontId="0" fillId="0" borderId="0" xfId="0" applyProtection="1">
      <protection hidden="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56029</xdr:colOff>
      <xdr:row>0</xdr:row>
      <xdr:rowOff>42022</xdr:rowOff>
    </xdr:from>
    <xdr:to>
      <xdr:col>20</xdr:col>
      <xdr:colOff>758462</xdr:colOff>
      <xdr:row>9</xdr:row>
      <xdr:rowOff>202224</xdr:rowOff>
    </xdr:to>
    <xdr:pic>
      <xdr:nvPicPr>
        <xdr:cNvPr id="2" name="Рисунок 1">
          <a:extLst>
            <a:ext uri="{FF2B5EF4-FFF2-40B4-BE49-F238E27FC236}">
              <a16:creationId xmlns:a16="http://schemas.microsoft.com/office/drawing/2014/main" id="{D434AE73-3750-47C5-B985-C682290F1832}"/>
            </a:ext>
          </a:extLst>
        </xdr:cNvPr>
        <xdr:cNvPicPr>
          <a:picLocks noChangeAspect="1"/>
        </xdr:cNvPicPr>
      </xdr:nvPicPr>
      <xdr:blipFill>
        <a:blip xmlns:r="http://schemas.openxmlformats.org/officeDocument/2006/relationships" r:embed="rId1"/>
        <a:stretch>
          <a:fillRect/>
        </a:stretch>
      </xdr:blipFill>
      <xdr:spPr>
        <a:xfrm>
          <a:off x="14203455" y="42022"/>
          <a:ext cx="3139712" cy="23593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AW238"/>
  <sheetViews>
    <sheetView showGridLines="0" tabSelected="1" view="pageBreakPreview" topLeftCell="A17" zoomScale="70" zoomScaleNormal="70" zoomScaleSheetLayoutView="70" workbookViewId="0">
      <selection activeCell="AL39" sqref="AL39"/>
    </sheetView>
  </sheetViews>
  <sheetFormatPr defaultColWidth="12.28515625" defaultRowHeight="12.75" outlineLevelCol="1" x14ac:dyDescent="0.2"/>
  <cols>
    <col min="1" max="1" width="12.28515625" style="1"/>
    <col min="2" max="2" width="12.28515625" style="2"/>
    <col min="3" max="3" width="15.140625" style="2" customWidth="1"/>
    <col min="4" max="7" width="12.28515625" style="1"/>
    <col min="8" max="8" width="14.28515625" style="1" customWidth="1"/>
    <col min="9" max="9" width="13.85546875" style="1" hidden="1" customWidth="1"/>
    <col min="10" max="10" width="13.140625" style="1" customWidth="1"/>
    <col min="11" max="11" width="18" style="1" customWidth="1"/>
    <col min="12" max="12" width="20" style="1" customWidth="1"/>
    <col min="13" max="13" width="12.28515625" style="1" customWidth="1"/>
    <col min="14" max="19" width="12.28515625" style="1" customWidth="1" outlineLevel="1"/>
    <col min="20" max="22" width="12.28515625" style="1" customWidth="1"/>
    <col min="23" max="23" width="2.7109375" style="1" customWidth="1"/>
    <col min="24" max="28" width="12.28515625" style="1" hidden="1" customWidth="1" outlineLevel="1"/>
    <col min="29" max="29" width="11.28515625" style="1" hidden="1" customWidth="1" outlineLevel="1"/>
    <col min="30" max="30" width="10" style="1" hidden="1" customWidth="1" outlineLevel="1"/>
    <col min="31" max="31" width="10.85546875" style="1" hidden="1" customWidth="1" outlineLevel="1"/>
    <col min="32" max="32" width="31.7109375" style="57" hidden="1" customWidth="1" outlineLevel="1"/>
    <col min="33" max="35" width="12.28515625" style="3" hidden="1" customWidth="1" outlineLevel="1"/>
    <col min="36" max="36" width="12.28515625" style="1" customWidth="1" collapsed="1"/>
    <col min="37" max="45" width="12.28515625" style="1" customWidth="1"/>
    <col min="46" max="16384" width="12.28515625" style="1"/>
  </cols>
  <sheetData>
    <row r="1" spans="1:48" ht="33.75" customHeight="1" x14ac:dyDescent="0.2">
      <c r="K1" s="94"/>
      <c r="L1" s="94"/>
      <c r="M1" s="94"/>
      <c r="N1" s="94"/>
      <c r="O1" s="94"/>
      <c r="P1" s="94"/>
      <c r="Q1" s="94"/>
      <c r="R1" s="94"/>
      <c r="S1" s="94"/>
      <c r="T1" s="94"/>
      <c r="U1" s="94"/>
      <c r="V1" s="94"/>
    </row>
    <row r="2" spans="1:48" ht="18" x14ac:dyDescent="0.25">
      <c r="B2" s="98" t="s">
        <v>55</v>
      </c>
      <c r="C2" s="99"/>
      <c r="D2" s="99"/>
      <c r="E2" s="99"/>
      <c r="F2" s="99"/>
      <c r="G2" s="99"/>
      <c r="H2" s="99"/>
      <c r="I2" s="99"/>
      <c r="J2" s="99"/>
      <c r="K2" s="99"/>
      <c r="L2" s="99"/>
      <c r="W2" s="4"/>
      <c r="X2" s="4"/>
      <c r="Y2" s="4"/>
      <c r="Z2" s="4"/>
      <c r="AA2" s="4"/>
      <c r="AB2" s="4"/>
      <c r="AC2" s="4"/>
      <c r="AD2" s="4"/>
      <c r="AE2" s="4"/>
      <c r="AF2" s="58"/>
      <c r="AG2" s="4"/>
      <c r="AH2" s="4"/>
      <c r="AI2" s="4"/>
      <c r="AJ2" s="4"/>
      <c r="AK2" s="4"/>
      <c r="AL2" s="4"/>
      <c r="AM2" s="4"/>
      <c r="AN2" s="4"/>
      <c r="AO2" s="4"/>
      <c r="AP2" s="4"/>
      <c r="AQ2" s="4"/>
      <c r="AR2" s="4"/>
      <c r="AS2" s="4"/>
      <c r="AT2" s="4"/>
      <c r="AU2" s="4"/>
      <c r="AV2" s="4"/>
    </row>
    <row r="3" spans="1:48" ht="15" customHeight="1" x14ac:dyDescent="0.2">
      <c r="C3" s="5" t="s">
        <v>0</v>
      </c>
      <c r="W3" s="4"/>
      <c r="X3" s="4"/>
      <c r="Y3" s="4"/>
      <c r="Z3" s="4"/>
      <c r="AA3" s="4"/>
      <c r="AB3" s="4"/>
      <c r="AC3" s="4"/>
      <c r="AD3" s="4"/>
      <c r="AE3" s="4"/>
      <c r="AF3" s="58"/>
      <c r="AG3" s="4"/>
      <c r="AH3" s="4"/>
      <c r="AI3" s="4"/>
      <c r="AJ3" s="4"/>
      <c r="AK3" s="4"/>
      <c r="AL3" s="4"/>
      <c r="AM3" s="4"/>
      <c r="AN3" s="4"/>
      <c r="AO3" s="4"/>
      <c r="AP3" s="4"/>
      <c r="AQ3" s="4"/>
      <c r="AR3" s="4"/>
      <c r="AS3" s="4"/>
      <c r="AT3" s="4"/>
      <c r="AU3" s="4"/>
      <c r="AV3" s="4"/>
    </row>
    <row r="4" spans="1:48" ht="17.25" customHeight="1" x14ac:dyDescent="0.2">
      <c r="B4" s="6" t="s">
        <v>1</v>
      </c>
      <c r="C4" s="7"/>
      <c r="D4" s="8"/>
      <c r="E4" s="64" t="s">
        <v>2</v>
      </c>
      <c r="M4" s="9"/>
      <c r="N4" s="9"/>
      <c r="O4" s="9"/>
      <c r="P4" s="9"/>
      <c r="Q4" s="9"/>
      <c r="R4" s="9"/>
      <c r="S4" s="9"/>
      <c r="W4" s="4"/>
      <c r="X4" s="4"/>
      <c r="Y4" s="4"/>
      <c r="Z4" s="4"/>
      <c r="AA4" s="4"/>
      <c r="AB4" s="4"/>
      <c r="AC4" s="4"/>
      <c r="AD4" s="4"/>
      <c r="AE4" s="10"/>
      <c r="AF4" s="59"/>
      <c r="AG4" s="11" t="s">
        <v>3</v>
      </c>
      <c r="AH4" s="4">
        <v>1</v>
      </c>
      <c r="AI4" s="4"/>
      <c r="AJ4" s="4"/>
      <c r="AK4" s="4"/>
      <c r="AL4" s="4"/>
      <c r="AM4" s="4"/>
      <c r="AN4" s="4"/>
      <c r="AO4" s="4"/>
      <c r="AP4" s="4"/>
      <c r="AQ4" s="4"/>
      <c r="AR4" s="4"/>
      <c r="AS4" s="4"/>
      <c r="AT4" s="4"/>
      <c r="AU4" s="4"/>
      <c r="AV4" s="4"/>
    </row>
    <row r="5" spans="1:48" ht="17.25" customHeight="1" x14ac:dyDescent="0.2">
      <c r="B5" s="6" t="s">
        <v>4</v>
      </c>
      <c r="C5" s="12"/>
      <c r="D5" s="13"/>
      <c r="E5" s="70">
        <v>45609</v>
      </c>
      <c r="H5" s="95" t="s">
        <v>5</v>
      </c>
      <c r="I5" s="95"/>
      <c r="J5" s="95"/>
      <c r="K5" s="95"/>
      <c r="L5" s="82" t="s">
        <v>6</v>
      </c>
      <c r="W5" s="4"/>
      <c r="X5" s="4"/>
      <c r="Y5" s="4"/>
      <c r="Z5" s="4"/>
      <c r="AA5" s="4"/>
      <c r="AB5" s="4"/>
      <c r="AC5" s="4"/>
      <c r="AD5" s="4"/>
      <c r="AE5" s="10"/>
      <c r="AF5" s="59"/>
      <c r="AG5" s="11" t="s">
        <v>6</v>
      </c>
      <c r="AH5" s="4">
        <v>2</v>
      </c>
      <c r="AI5" s="4"/>
      <c r="AJ5" s="4"/>
      <c r="AK5" s="4"/>
      <c r="AL5" s="4"/>
      <c r="AM5" s="4"/>
      <c r="AN5" s="4"/>
      <c r="AO5" s="4"/>
      <c r="AP5" s="4"/>
      <c r="AQ5" s="4"/>
      <c r="AR5" s="4"/>
      <c r="AS5" s="4"/>
      <c r="AT5" s="4"/>
      <c r="AU5" s="4"/>
      <c r="AV5" s="4"/>
    </row>
    <row r="6" spans="1:48" ht="17.25" customHeight="1" x14ac:dyDescent="0.2">
      <c r="B6" s="14" t="s">
        <v>7</v>
      </c>
      <c r="C6" s="13"/>
      <c r="D6" s="15"/>
      <c r="E6" s="81">
        <v>36</v>
      </c>
      <c r="F6" s="16"/>
      <c r="H6" s="95" t="s">
        <v>8</v>
      </c>
      <c r="I6" s="95"/>
      <c r="J6" s="95"/>
      <c r="K6" s="95"/>
      <c r="L6" s="82" t="s">
        <v>9</v>
      </c>
      <c r="W6" s="4"/>
      <c r="X6" s="4"/>
      <c r="Y6" s="4"/>
      <c r="Z6" s="4"/>
      <c r="AA6" s="4"/>
      <c r="AB6" s="4"/>
      <c r="AC6" s="4"/>
      <c r="AD6" s="4"/>
      <c r="AE6" s="4"/>
      <c r="AF6" s="58"/>
      <c r="AG6" s="4"/>
      <c r="AH6" s="4"/>
      <c r="AI6" s="4"/>
      <c r="AJ6" s="4"/>
      <c r="AK6" s="4"/>
      <c r="AL6" s="4"/>
      <c r="AM6" s="4"/>
      <c r="AN6" s="4"/>
      <c r="AO6" s="4"/>
      <c r="AP6" s="4"/>
      <c r="AQ6" s="4"/>
      <c r="AR6" s="4"/>
      <c r="AS6" s="4"/>
      <c r="AT6" s="4"/>
      <c r="AU6" s="4"/>
      <c r="AV6" s="4"/>
    </row>
    <row r="7" spans="1:48" ht="17.25" customHeight="1" x14ac:dyDescent="0.2">
      <c r="B7" s="14" t="s">
        <v>10</v>
      </c>
      <c r="C7" s="13"/>
      <c r="D7" s="13"/>
      <c r="E7" s="71">
        <v>10000</v>
      </c>
      <c r="F7" s="17" t="s">
        <v>56</v>
      </c>
      <c r="G7" s="17"/>
      <c r="H7" s="96"/>
      <c r="I7" s="96"/>
      <c r="J7" s="96"/>
      <c r="K7" s="96"/>
      <c r="L7" s="83"/>
      <c r="W7" s="4"/>
      <c r="X7" s="4"/>
      <c r="Y7" s="4"/>
      <c r="Z7" s="4"/>
      <c r="AA7" s="4"/>
      <c r="AB7" s="4"/>
      <c r="AC7" s="4"/>
      <c r="AD7" s="4"/>
      <c r="AE7" s="4"/>
      <c r="AF7" s="58"/>
      <c r="AG7" s="4" t="s">
        <v>2</v>
      </c>
      <c r="AH7" s="4">
        <v>3</v>
      </c>
      <c r="AI7" s="77">
        <v>12</v>
      </c>
      <c r="AJ7" s="4"/>
      <c r="AK7" s="4"/>
      <c r="AL7" s="4"/>
      <c r="AM7" s="4"/>
      <c r="AN7" s="4"/>
      <c r="AO7" s="4"/>
      <c r="AP7" s="4"/>
      <c r="AQ7" s="4"/>
      <c r="AR7" s="4"/>
      <c r="AS7" s="4"/>
      <c r="AT7" s="4"/>
      <c r="AU7" s="4"/>
      <c r="AV7" s="4"/>
    </row>
    <row r="8" spans="1:48" ht="17.25" customHeight="1" x14ac:dyDescent="0.2">
      <c r="B8" s="14" t="s">
        <v>11</v>
      </c>
      <c r="C8" s="13"/>
      <c r="D8" s="13"/>
      <c r="E8" s="73">
        <v>25.5</v>
      </c>
      <c r="F8" s="17"/>
      <c r="G8" s="17"/>
      <c r="H8" s="17"/>
      <c r="K8" s="4"/>
      <c r="W8" s="4"/>
      <c r="X8" s="4"/>
      <c r="Y8" s="4"/>
      <c r="Z8" s="4"/>
      <c r="AA8" s="4"/>
      <c r="AB8" s="4"/>
      <c r="AC8" s="4"/>
      <c r="AD8" s="4"/>
      <c r="AE8" s="4"/>
      <c r="AF8" s="58"/>
      <c r="AG8" s="1"/>
      <c r="AH8" s="1"/>
      <c r="AI8" s="77"/>
      <c r="AJ8" s="4"/>
      <c r="AK8" s="4"/>
      <c r="AL8" s="4"/>
      <c r="AM8" s="4"/>
      <c r="AN8" s="4"/>
      <c r="AO8" s="4"/>
      <c r="AP8" s="4"/>
      <c r="AQ8" s="4"/>
      <c r="AR8" s="4"/>
      <c r="AS8" s="4"/>
      <c r="AT8" s="4"/>
      <c r="AU8" s="4"/>
      <c r="AV8" s="4"/>
    </row>
    <row r="9" spans="1:48" ht="17.25" customHeight="1" x14ac:dyDescent="0.2">
      <c r="B9" s="6" t="s">
        <v>12</v>
      </c>
      <c r="C9" s="18"/>
      <c r="D9" s="8"/>
      <c r="E9" s="78">
        <v>36</v>
      </c>
      <c r="F9" s="16"/>
      <c r="G9" s="16"/>
      <c r="H9" s="16"/>
      <c r="I9" s="19"/>
      <c r="K9" s="4"/>
      <c r="W9" s="4"/>
      <c r="X9" s="4"/>
      <c r="Y9" s="4"/>
      <c r="Z9" s="4"/>
      <c r="AA9" s="4"/>
      <c r="AB9" s="4"/>
      <c r="AC9" s="4"/>
      <c r="AD9" s="4"/>
      <c r="AE9" s="4"/>
      <c r="AF9" s="58"/>
      <c r="AG9" s="4" t="s">
        <v>13</v>
      </c>
      <c r="AH9" s="4">
        <v>5</v>
      </c>
      <c r="AI9" s="4"/>
      <c r="AJ9" s="4"/>
      <c r="AK9" s="4"/>
      <c r="AL9" s="4"/>
      <c r="AM9" s="4"/>
      <c r="AN9" s="4"/>
      <c r="AO9" s="4"/>
      <c r="AP9" s="4"/>
      <c r="AQ9" s="4"/>
      <c r="AR9" s="4"/>
      <c r="AS9" s="4"/>
      <c r="AT9" s="4"/>
      <c r="AU9" s="4"/>
      <c r="AV9" s="4"/>
    </row>
    <row r="10" spans="1:48" ht="17.25" customHeight="1" thickBot="1" x14ac:dyDescent="0.25">
      <c r="B10" s="14" t="s">
        <v>14</v>
      </c>
      <c r="C10" s="13"/>
      <c r="D10" s="13"/>
      <c r="E10" s="79"/>
      <c r="F10" s="17"/>
      <c r="G10" s="17"/>
      <c r="H10" s="17"/>
      <c r="W10" s="4"/>
      <c r="X10" s="4"/>
      <c r="Y10" s="4"/>
      <c r="Z10" s="4"/>
      <c r="AA10" s="4"/>
      <c r="AB10" s="4"/>
      <c r="AC10" s="4"/>
      <c r="AD10" s="4"/>
      <c r="AE10" s="4"/>
      <c r="AF10" s="58"/>
      <c r="AG10" s="4"/>
      <c r="AH10" s="4"/>
      <c r="AI10" s="4"/>
      <c r="AJ10" s="4"/>
      <c r="AK10" s="4"/>
      <c r="AL10" s="4"/>
      <c r="AM10" s="4"/>
      <c r="AN10" s="4"/>
      <c r="AO10" s="4"/>
      <c r="AP10" s="4"/>
      <c r="AQ10" s="4"/>
      <c r="AR10" s="4"/>
      <c r="AS10" s="4"/>
      <c r="AT10" s="4"/>
      <c r="AU10" s="4"/>
      <c r="AV10" s="4"/>
    </row>
    <row r="11" spans="1:48" ht="17.25" customHeight="1" thickBot="1" x14ac:dyDescent="0.25">
      <c r="B11" s="14" t="s">
        <v>15</v>
      </c>
      <c r="C11" s="13"/>
      <c r="D11" s="13"/>
      <c r="E11" s="69">
        <f>D57+J18+L18-E7</f>
        <v>8249.0783741297964</v>
      </c>
      <c r="F11" s="17"/>
      <c r="G11" s="17"/>
      <c r="H11" s="72"/>
      <c r="I11" s="65" t="s">
        <v>16</v>
      </c>
      <c r="J11" s="65" t="s">
        <v>16</v>
      </c>
      <c r="K11" s="66"/>
      <c r="L11" s="67"/>
      <c r="W11" s="4"/>
      <c r="X11" s="4"/>
      <c r="Y11" s="4"/>
      <c r="Z11" s="4"/>
      <c r="AA11" s="4"/>
      <c r="AB11" s="4"/>
      <c r="AC11" s="4"/>
      <c r="AD11" s="4"/>
      <c r="AE11" s="4"/>
      <c r="AF11" s="58"/>
      <c r="AG11" s="4"/>
      <c r="AH11" s="4"/>
      <c r="AI11" s="4"/>
      <c r="AJ11" s="4"/>
      <c r="AK11" s="4"/>
      <c r="AL11" s="4"/>
      <c r="AM11" s="4"/>
      <c r="AN11" s="4"/>
      <c r="AO11" s="4"/>
      <c r="AP11" s="4"/>
      <c r="AQ11" s="4"/>
      <c r="AR11" s="4"/>
      <c r="AS11" s="4"/>
      <c r="AT11" s="4"/>
      <c r="AU11" s="4"/>
      <c r="AV11" s="4"/>
    </row>
    <row r="12" spans="1:48" x14ac:dyDescent="0.2">
      <c r="B12" s="20"/>
      <c r="W12" s="4"/>
      <c r="X12" s="4"/>
      <c r="Y12" s="4"/>
      <c r="Z12" s="4"/>
      <c r="AA12" s="4"/>
      <c r="AB12" s="4"/>
      <c r="AC12" s="4"/>
      <c r="AD12" s="4"/>
      <c r="AE12" s="4"/>
      <c r="AF12" s="58"/>
      <c r="AG12" s="4"/>
      <c r="AH12" s="4"/>
      <c r="AI12" s="4"/>
      <c r="AJ12" s="4"/>
      <c r="AK12" s="4"/>
      <c r="AL12" s="4"/>
      <c r="AM12" s="4"/>
      <c r="AN12" s="4"/>
      <c r="AO12" s="4"/>
      <c r="AP12" s="4"/>
      <c r="AQ12" s="4"/>
      <c r="AR12" s="4"/>
      <c r="AS12" s="4"/>
      <c r="AT12" s="4"/>
      <c r="AU12" s="4"/>
      <c r="AV12" s="4"/>
    </row>
    <row r="13" spans="1:48" ht="12.95" customHeight="1" x14ac:dyDescent="0.2">
      <c r="A13" s="89" t="s">
        <v>17</v>
      </c>
      <c r="B13" s="90" t="s">
        <v>18</v>
      </c>
      <c r="C13" s="90" t="s">
        <v>19</v>
      </c>
      <c r="D13" s="91" t="s">
        <v>20</v>
      </c>
      <c r="E13" s="97" t="s">
        <v>21</v>
      </c>
      <c r="F13" s="97"/>
      <c r="G13" s="97"/>
      <c r="H13" s="97"/>
      <c r="I13" s="97"/>
      <c r="J13" s="97"/>
      <c r="K13" s="97"/>
      <c r="L13" s="97"/>
      <c r="M13" s="97"/>
      <c r="N13" s="97"/>
      <c r="O13" s="97"/>
      <c r="P13" s="97"/>
      <c r="Q13" s="97"/>
      <c r="R13" s="97"/>
      <c r="S13" s="97"/>
      <c r="T13" s="91" t="s">
        <v>22</v>
      </c>
      <c r="U13" s="91" t="s">
        <v>23</v>
      </c>
      <c r="V13" s="91" t="s">
        <v>24</v>
      </c>
      <c r="W13" s="17"/>
      <c r="X13" s="51"/>
      <c r="Y13" s="90" t="s">
        <v>25</v>
      </c>
      <c r="Z13" s="90" t="s">
        <v>26</v>
      </c>
      <c r="AA13" s="90" t="s">
        <v>27</v>
      </c>
      <c r="AB13" s="90" t="s">
        <v>28</v>
      </c>
      <c r="AC13" s="90" t="s">
        <v>29</v>
      </c>
      <c r="AD13" s="90" t="s">
        <v>30</v>
      </c>
      <c r="AE13" s="90" t="s">
        <v>31</v>
      </c>
      <c r="AF13" s="60"/>
      <c r="AG13" s="10">
        <f>DAY(B20)</f>
        <v>13</v>
      </c>
      <c r="AH13" s="10">
        <f>MONTH(B20)</f>
        <v>11</v>
      </c>
      <c r="AI13" s="10">
        <f>YEAR(B20)</f>
        <v>2024</v>
      </c>
      <c r="AJ13" s="4"/>
      <c r="AK13" s="4"/>
      <c r="AL13" s="4"/>
      <c r="AM13" s="4"/>
      <c r="AN13" s="4"/>
      <c r="AO13" s="4"/>
      <c r="AP13" s="4"/>
      <c r="AQ13" s="4"/>
      <c r="AR13" s="4"/>
      <c r="AS13" s="4"/>
      <c r="AT13" s="4"/>
    </row>
    <row r="14" spans="1:48" ht="12.95" customHeight="1" x14ac:dyDescent="0.2">
      <c r="A14" s="89"/>
      <c r="B14" s="90"/>
      <c r="C14" s="90"/>
      <c r="D14" s="91"/>
      <c r="E14" s="91" t="s">
        <v>32</v>
      </c>
      <c r="F14" s="91" t="s">
        <v>33</v>
      </c>
      <c r="G14" s="91" t="s">
        <v>34</v>
      </c>
      <c r="H14" s="91" t="s">
        <v>35</v>
      </c>
      <c r="I14" s="91"/>
      <c r="J14" s="91"/>
      <c r="K14" s="91"/>
      <c r="L14" s="91"/>
      <c r="M14" s="91"/>
      <c r="N14" s="91" t="s">
        <v>36</v>
      </c>
      <c r="O14" s="91"/>
      <c r="P14" s="91"/>
      <c r="Q14" s="91"/>
      <c r="R14" s="91"/>
      <c r="S14" s="91"/>
      <c r="T14" s="91"/>
      <c r="U14" s="91"/>
      <c r="V14" s="91"/>
      <c r="W14" s="17"/>
      <c r="X14" s="52"/>
      <c r="Y14" s="90"/>
      <c r="Z14" s="90"/>
      <c r="AA14" s="90"/>
      <c r="AB14" s="90"/>
      <c r="AC14" s="90"/>
      <c r="AD14" s="90"/>
      <c r="AE14" s="90"/>
      <c r="AF14" s="60"/>
      <c r="AG14" s="10">
        <f>IF(OR($E$4="Картки",$E$4="Кредитка"),IF($L$6="Так",IF($AH$13&gt;=25,(E6+1)+1,E6+1),E$6),IF($L$6="Так",IF($AH$13&gt;=25,(E6+1)+1,E6+1),E$6))</f>
        <v>36</v>
      </c>
      <c r="AH14" s="4" t="s">
        <v>37</v>
      </c>
      <c r="AI14" s="4"/>
      <c r="AJ14" s="4"/>
      <c r="AK14" s="4"/>
      <c r="AL14" s="4"/>
      <c r="AM14" s="4"/>
      <c r="AN14" s="4"/>
      <c r="AO14" s="4"/>
      <c r="AP14" s="4"/>
      <c r="AQ14" s="4"/>
      <c r="AR14" s="4"/>
      <c r="AS14" s="4"/>
      <c r="AT14" s="4"/>
    </row>
    <row r="15" spans="1:48" ht="12.95" customHeight="1" x14ac:dyDescent="0.2">
      <c r="A15" s="89"/>
      <c r="B15" s="90"/>
      <c r="C15" s="90"/>
      <c r="D15" s="91"/>
      <c r="E15" s="91"/>
      <c r="F15" s="91"/>
      <c r="G15" s="93"/>
      <c r="H15" s="91"/>
      <c r="I15" s="91"/>
      <c r="J15" s="91"/>
      <c r="K15" s="91"/>
      <c r="L15" s="91"/>
      <c r="M15" s="91"/>
      <c r="N15" s="91"/>
      <c r="O15" s="91"/>
      <c r="P15" s="91"/>
      <c r="Q15" s="91"/>
      <c r="R15" s="91"/>
      <c r="S15" s="91"/>
      <c r="T15" s="91"/>
      <c r="U15" s="91"/>
      <c r="V15" s="91"/>
      <c r="W15" s="17"/>
      <c r="X15" s="52"/>
      <c r="Y15" s="90"/>
      <c r="Z15" s="90"/>
      <c r="AA15" s="90"/>
      <c r="AB15" s="90"/>
      <c r="AC15" s="90"/>
      <c r="AD15" s="90"/>
      <c r="AE15" s="90"/>
      <c r="AF15" s="60"/>
      <c r="AG15" s="10">
        <f>IF(OR($E$4="Картки",$E$4="Кредитка"),IF($L$6="Так",IF($AH$13&gt;=25,(E9+1)+1,E9+1),E9),IF($L$6="Так",IF($AH$13&gt;=25,(E9+1)+1,E9+1),E9))</f>
        <v>36</v>
      </c>
      <c r="AH15" s="4" t="s">
        <v>38</v>
      </c>
      <c r="AI15" s="4"/>
      <c r="AJ15" s="4"/>
      <c r="AK15" s="4"/>
      <c r="AL15" s="4"/>
      <c r="AM15" s="4"/>
      <c r="AN15" s="4"/>
      <c r="AO15" s="4"/>
      <c r="AP15" s="4"/>
      <c r="AQ15" s="4"/>
      <c r="AR15" s="4"/>
      <c r="AS15" s="4"/>
      <c r="AT15" s="4"/>
    </row>
    <row r="16" spans="1:48" x14ac:dyDescent="0.2">
      <c r="A16" s="89"/>
      <c r="B16" s="90"/>
      <c r="C16" s="90"/>
      <c r="D16" s="91"/>
      <c r="E16" s="91"/>
      <c r="F16" s="91"/>
      <c r="G16" s="93"/>
      <c r="H16" s="91"/>
      <c r="I16" s="91"/>
      <c r="J16" s="91"/>
      <c r="K16" s="91"/>
      <c r="L16" s="91"/>
      <c r="M16" s="91"/>
      <c r="N16" s="91"/>
      <c r="O16" s="91"/>
      <c r="P16" s="91"/>
      <c r="Q16" s="91"/>
      <c r="R16" s="91"/>
      <c r="S16" s="91"/>
      <c r="T16" s="91"/>
      <c r="U16" s="91"/>
      <c r="V16" s="91"/>
      <c r="W16" s="17"/>
      <c r="X16" s="52"/>
      <c r="Y16" s="90"/>
      <c r="Z16" s="90"/>
      <c r="AA16" s="90"/>
      <c r="AB16" s="90"/>
      <c r="AC16" s="90"/>
      <c r="AD16" s="90"/>
      <c r="AE16" s="90"/>
      <c r="AF16" s="60"/>
      <c r="AG16" s="10">
        <f>DAY(X20)</f>
        <v>30</v>
      </c>
      <c r="AH16" s="10">
        <f>MONTH(X20)</f>
        <v>11</v>
      </c>
      <c r="AI16" s="10">
        <f>YEAR(X20)</f>
        <v>2024</v>
      </c>
      <c r="AJ16" s="4"/>
      <c r="AK16" s="4"/>
      <c r="AL16" s="4"/>
      <c r="AM16" s="4"/>
      <c r="AN16" s="4"/>
      <c r="AO16" s="4"/>
      <c r="AP16" s="4"/>
      <c r="AQ16" s="4"/>
      <c r="AR16" s="4"/>
      <c r="AS16" s="4"/>
      <c r="AT16" s="4"/>
    </row>
    <row r="17" spans="1:49" ht="102.95" customHeight="1" x14ac:dyDescent="0.2">
      <c r="A17" s="89"/>
      <c r="B17" s="90"/>
      <c r="C17" s="90"/>
      <c r="D17" s="91"/>
      <c r="E17" s="91"/>
      <c r="F17" s="91"/>
      <c r="G17" s="93"/>
      <c r="H17" s="49" t="s">
        <v>39</v>
      </c>
      <c r="I17" s="49" t="s">
        <v>40</v>
      </c>
      <c r="J17" s="49" t="s">
        <v>41</v>
      </c>
      <c r="K17" s="49" t="s">
        <v>42</v>
      </c>
      <c r="L17" s="49" t="s">
        <v>43</v>
      </c>
      <c r="M17" s="49" t="s">
        <v>44</v>
      </c>
      <c r="N17" s="49" t="s">
        <v>45</v>
      </c>
      <c r="O17" s="49" t="s">
        <v>46</v>
      </c>
      <c r="P17" s="49" t="s">
        <v>47</v>
      </c>
      <c r="Q17" s="49" t="s">
        <v>48</v>
      </c>
      <c r="R17" s="49" t="s">
        <v>49</v>
      </c>
      <c r="S17" s="49" t="s">
        <v>50</v>
      </c>
      <c r="T17" s="91"/>
      <c r="U17" s="91"/>
      <c r="V17" s="91"/>
      <c r="W17" s="21"/>
      <c r="X17" s="53"/>
      <c r="Y17" s="90"/>
      <c r="Z17" s="90"/>
      <c r="AA17" s="90"/>
      <c r="AB17" s="90"/>
      <c r="AC17" s="90"/>
      <c r="AD17" s="90"/>
      <c r="AE17" s="90"/>
      <c r="AF17" s="60"/>
      <c r="AG17" s="4"/>
      <c r="AH17" s="4"/>
      <c r="AI17" s="4"/>
      <c r="AJ17" s="4"/>
      <c r="AK17" s="4"/>
      <c r="AL17" s="4"/>
      <c r="AM17" s="4"/>
      <c r="AN17" s="4"/>
      <c r="AO17" s="4"/>
      <c r="AP17" s="4"/>
      <c r="AQ17" s="4"/>
      <c r="AR17" s="4"/>
      <c r="AS17" s="4"/>
      <c r="AT17" s="4"/>
      <c r="AU17" s="4"/>
    </row>
    <row r="18" spans="1:49" ht="18.75" customHeight="1" x14ac:dyDescent="0.2">
      <c r="A18" s="22" t="s">
        <v>51</v>
      </c>
      <c r="B18" s="23" t="s">
        <v>52</v>
      </c>
      <c r="C18" s="23" t="s">
        <v>52</v>
      </c>
      <c r="D18" s="23" t="s">
        <v>52</v>
      </c>
      <c r="E18" s="23">
        <f>SUM(E21:E56)</f>
        <v>10000</v>
      </c>
      <c r="F18" s="23">
        <f>SUM(F21:F56)</f>
        <v>7642.0783741297964</v>
      </c>
      <c r="G18" s="23" t="s">
        <v>52</v>
      </c>
      <c r="H18" s="23">
        <f>SUM(H20:H117)</f>
        <v>0</v>
      </c>
      <c r="I18" s="23">
        <f>SUM(I20:I117)</f>
        <v>0</v>
      </c>
      <c r="J18" s="23">
        <f>SUM(J20:J44)</f>
        <v>107</v>
      </c>
      <c r="K18" s="23">
        <f>SUM(K20:K117)</f>
        <v>100</v>
      </c>
      <c r="L18" s="23">
        <f>SUM(L20:L117)</f>
        <v>500</v>
      </c>
      <c r="M18" s="23">
        <f>SUM(M20:M117)</f>
        <v>0</v>
      </c>
      <c r="N18" s="23">
        <f>SUM(N20:N117)</f>
        <v>0</v>
      </c>
      <c r="O18" s="23">
        <f>SUM(O20:O117)</f>
        <v>0</v>
      </c>
      <c r="P18" s="23">
        <f>SUM(P20:P44)</f>
        <v>0</v>
      </c>
      <c r="Q18" s="23">
        <f>SUM(Q20:Q117)</f>
        <v>0</v>
      </c>
      <c r="R18" s="23">
        <f>SUM(R20:R117)</f>
        <v>0</v>
      </c>
      <c r="S18" s="23">
        <f>SUM(S20:S117)</f>
        <v>0</v>
      </c>
      <c r="T18" s="24"/>
      <c r="U18" s="24"/>
      <c r="V18" s="24"/>
      <c r="W18" s="25"/>
      <c r="X18" s="23"/>
      <c r="Y18" s="23"/>
      <c r="Z18" s="23"/>
      <c r="AA18" s="23"/>
      <c r="AB18" s="23"/>
      <c r="AC18" s="23"/>
      <c r="AD18" s="23"/>
      <c r="AE18" s="23"/>
      <c r="AF18" s="61"/>
      <c r="AG18" s="4"/>
      <c r="AH18" s="4"/>
      <c r="AI18" s="4"/>
      <c r="AJ18" s="4"/>
      <c r="AK18" s="4"/>
      <c r="AL18" s="4"/>
      <c r="AM18" s="4"/>
      <c r="AN18" s="4"/>
      <c r="AO18" s="4"/>
      <c r="AP18" s="4"/>
      <c r="AQ18" s="4"/>
      <c r="AR18" s="4"/>
      <c r="AS18" s="4"/>
      <c r="AT18" s="4"/>
      <c r="AU18" s="4"/>
    </row>
    <row r="19" spans="1:49" ht="14.25" customHeight="1" x14ac:dyDescent="0.2">
      <c r="A19" s="26"/>
      <c r="B19" s="27"/>
      <c r="C19" s="38"/>
      <c r="D19" s="24"/>
      <c r="E19" s="24"/>
      <c r="F19" s="24"/>
      <c r="G19" s="28"/>
      <c r="H19" s="74">
        <v>0</v>
      </c>
      <c r="I19" s="75">
        <v>0</v>
      </c>
      <c r="J19" s="75">
        <v>0.01</v>
      </c>
      <c r="K19" s="75">
        <v>0.01</v>
      </c>
      <c r="L19" s="87">
        <v>500</v>
      </c>
      <c r="M19" s="76"/>
      <c r="N19" s="76"/>
      <c r="O19" s="76"/>
      <c r="P19" s="76"/>
      <c r="Q19" s="76"/>
      <c r="R19" s="76"/>
      <c r="S19" s="76"/>
      <c r="T19" s="24"/>
      <c r="U19" s="24"/>
      <c r="V19" s="24"/>
      <c r="W19" s="29"/>
      <c r="X19" s="27"/>
      <c r="Y19" s="27"/>
      <c r="Z19" s="27"/>
      <c r="AA19" s="38"/>
      <c r="AB19" s="38"/>
      <c r="AC19" s="38"/>
      <c r="AD19" s="38"/>
      <c r="AE19" s="38"/>
      <c r="AF19" s="62"/>
      <c r="AG19" s="4"/>
      <c r="AH19" s="30"/>
      <c r="AI19" s="30"/>
      <c r="AJ19" s="4"/>
      <c r="AK19" s="4"/>
      <c r="AL19" s="4"/>
      <c r="AM19" s="4"/>
      <c r="AN19" s="4"/>
      <c r="AO19" s="4"/>
      <c r="AP19" s="4"/>
      <c r="AQ19" s="4"/>
      <c r="AR19" s="4"/>
      <c r="AS19" s="4"/>
      <c r="AT19" s="4"/>
      <c r="AU19" s="4"/>
      <c r="AV19" s="4"/>
      <c r="AW19" s="4"/>
    </row>
    <row r="20" spans="1:49" x14ac:dyDescent="0.2">
      <c r="A20" s="26">
        <v>0</v>
      </c>
      <c r="B20" s="31">
        <f>$E$5</f>
        <v>45609</v>
      </c>
      <c r="C20" s="38"/>
      <c r="D20" s="32">
        <f>H18+I18+K18+L18+M18+N18+O18+P18+Q18+R18+S18-E7</f>
        <v>-9400</v>
      </c>
      <c r="E20" s="50">
        <f t="shared" ref="E20:E30" si="0">IFERROR((IF(B20="","",IF(E$4="Кредитка",IF(A20&lt;AG$14,G19*10%,G19),IF(A20&lt;$AG$15,0,G19/($AG$14-A20+1))))),0)</f>
        <v>0</v>
      </c>
      <c r="F20" s="33">
        <f t="shared" ref="F20:F30" si="1">IF(A20&gt;$E$6+1,"",IF(A20&lt;&gt;$E$6,AD19+AE19,AD19+AE19+AD20+AE20))</f>
        <v>0</v>
      </c>
      <c r="G20" s="33">
        <f>E7</f>
        <v>10000</v>
      </c>
      <c r="H20" s="34">
        <f>G20*H19</f>
        <v>0</v>
      </c>
      <c r="I20" s="34">
        <f>(G20*I19)</f>
        <v>0</v>
      </c>
      <c r="J20" s="34">
        <f>(G20*J19)+7</f>
        <v>107</v>
      </c>
      <c r="K20" s="34">
        <f>IF((G20*K19)&gt;=1500,1500,IF((G20*K19)&gt;=50,(G20*K19),50))</f>
        <v>100</v>
      </c>
      <c r="L20" s="34">
        <f>L19</f>
        <v>500</v>
      </c>
      <c r="M20" s="34">
        <f>M19</f>
        <v>0</v>
      </c>
      <c r="N20" s="34">
        <f>$N$19*G20</f>
        <v>0</v>
      </c>
      <c r="O20" s="34">
        <f>$O$19*G20</f>
        <v>0</v>
      </c>
      <c r="P20" s="34">
        <f>E10*P19</f>
        <v>0</v>
      </c>
      <c r="Q20" s="34">
        <f>Q19</f>
        <v>0</v>
      </c>
      <c r="R20" s="34">
        <f>L7*E6/12</f>
        <v>0</v>
      </c>
      <c r="S20" s="34">
        <f>S19</f>
        <v>0</v>
      </c>
      <c r="T20" s="80">
        <f>XIRR(D20:D56,B20:B56)</f>
        <v>0.32046615481376661</v>
      </c>
      <c r="U20" s="80">
        <f>(F57+L20+MAX(K20,J20))/E7/SUM(C21:C56)*100%</f>
        <v>7.5334049078810928E-4</v>
      </c>
      <c r="V20" s="23">
        <f>SUM(D57,H18,I18,J18,L18,M18,N18,O18,P18,Q18,R18,S18)</f>
        <v>18249.078374129796</v>
      </c>
      <c r="W20" s="35"/>
      <c r="X20" s="31">
        <f t="shared" ref="X20:X44" si="2">EOMONTH(B20,0)</f>
        <v>45626</v>
      </c>
      <c r="Y20" s="38">
        <f t="shared" ref="Y20:Y44" si="3">IF(B20=$E$5,X20-B20+1,0)</f>
        <v>18</v>
      </c>
      <c r="Z20" s="38">
        <f t="shared" ref="Z20:Z44" si="4">IF(A20=0,0,IF(A20=$E$6,DAY(B20)-1,0))</f>
        <v>0</v>
      </c>
      <c r="AA20" s="38">
        <f t="shared" ref="AA20:AA44" si="5">IF(OR(Y20&lt;&gt;0,Z20&lt;&gt;0),0,20)</f>
        <v>0</v>
      </c>
      <c r="AB20" s="38">
        <f t="shared" ref="AB20:AB44" si="6">IF(AA20=0,0,DAY(X20)-AA20)</f>
        <v>0</v>
      </c>
      <c r="AC20" s="38">
        <f t="shared" ref="AC20:AC44" si="7">CHOOSE(VLOOKUP($L$5,$AG$4:$AH$5,2,0),36000,IF(MONTH(DATE(YEAR(B20),2,29))=2,36600,36500))</f>
        <v>36600</v>
      </c>
      <c r="AD20" s="33">
        <f t="shared" ref="AD20:AD30" si="8">IF(Y20&lt;&gt;0,$G20*$E$8*Y20/AC20,IF(Z20&lt;&gt;0,$G19*$E$8*Z20/AC20,0))</f>
        <v>125.40983606557377</v>
      </c>
      <c r="AE20" s="33">
        <f t="shared" ref="AE20:AE30" si="9">IF(AD20&lt;&gt;0,0,(G19*$E$8*AA20/AC20)+(G20*$E$8*AB20/AC20))</f>
        <v>0</v>
      </c>
      <c r="AF20" s="86">
        <f>$E$5</f>
        <v>45609</v>
      </c>
      <c r="AG20" s="4"/>
      <c r="AH20" s="30"/>
      <c r="AI20" s="36"/>
      <c r="AJ20" s="4"/>
      <c r="AK20" s="4"/>
      <c r="AL20" s="4"/>
      <c r="AM20" s="4"/>
      <c r="AN20" s="4"/>
      <c r="AO20" s="4"/>
      <c r="AP20" s="4"/>
      <c r="AQ20" s="4"/>
      <c r="AR20" s="4"/>
      <c r="AS20" s="4"/>
      <c r="AT20" s="4"/>
      <c r="AU20" s="4"/>
      <c r="AV20" s="4"/>
      <c r="AW20" s="4"/>
    </row>
    <row r="21" spans="1:49" x14ac:dyDescent="0.2">
      <c r="A21" s="37">
        <f t="shared" ref="A21:A30" si="10">IF(A20&gt;=$E$6,"",A20+1)</f>
        <v>1</v>
      </c>
      <c r="B21" s="31">
        <f t="shared" ref="B21:B40" si="11">IF(A21=$E$6,IF(WEEKDAY(AF21,2)=7,AF21+1,IF(WEEKDAY(AF21,2)=6,AF21+2,AF21)),AF21)</f>
        <v>45646</v>
      </c>
      <c r="C21" s="84">
        <f>EOMONTH(B20,0)-B20+1</f>
        <v>18</v>
      </c>
      <c r="D21" s="33">
        <f t="shared" ref="D21:D31" si="12">IF(B21="","",E21+F21+I21+M21+N21+O21+P21+Q21+R21+S21)</f>
        <v>125.40983606557377</v>
      </c>
      <c r="E21" s="50">
        <f t="shared" si="0"/>
        <v>0</v>
      </c>
      <c r="F21" s="33">
        <f t="shared" si="1"/>
        <v>125.40983606557377</v>
      </c>
      <c r="G21" s="33">
        <f t="shared" ref="G21:G30" si="13">IF(B21="","",G20-E21)</f>
        <v>10000</v>
      </c>
      <c r="H21" s="33"/>
      <c r="I21" s="33"/>
      <c r="J21" s="33"/>
      <c r="K21" s="33"/>
      <c r="L21" s="33"/>
      <c r="M21" s="33"/>
      <c r="N21" s="33"/>
      <c r="O21" s="39"/>
      <c r="P21" s="33"/>
      <c r="Q21" s="33"/>
      <c r="R21" s="33"/>
      <c r="S21" s="33"/>
      <c r="T21" s="40"/>
      <c r="U21" s="40"/>
      <c r="V21" s="40"/>
      <c r="W21" s="41"/>
      <c r="X21" s="31">
        <f t="shared" si="2"/>
        <v>45657</v>
      </c>
      <c r="Y21" s="38">
        <f t="shared" si="3"/>
        <v>0</v>
      </c>
      <c r="Z21" s="38">
        <f t="shared" si="4"/>
        <v>0</v>
      </c>
      <c r="AA21" s="38">
        <f t="shared" si="5"/>
        <v>20</v>
      </c>
      <c r="AB21" s="38">
        <f t="shared" si="6"/>
        <v>11</v>
      </c>
      <c r="AC21" s="38">
        <f t="shared" si="7"/>
        <v>36600</v>
      </c>
      <c r="AD21" s="33">
        <f t="shared" si="8"/>
        <v>0</v>
      </c>
      <c r="AE21" s="33">
        <f t="shared" si="9"/>
        <v>215.98360655737704</v>
      </c>
      <c r="AF21" s="86">
        <f>IF(A21=E$6,DATE($AI$13,$AH$13+A21,$AG$13-1),IF(A21&gt;$E$6,"",DATE($AI$13,$AH$13+A21,"20")))</f>
        <v>45646</v>
      </c>
      <c r="AG21" s="4"/>
      <c r="AH21" s="4"/>
      <c r="AI21" s="36"/>
      <c r="AJ21" s="4"/>
      <c r="AK21" s="4"/>
      <c r="AL21" s="4"/>
      <c r="AM21" s="4"/>
      <c r="AN21" s="4"/>
      <c r="AO21" s="4"/>
      <c r="AP21" s="4"/>
      <c r="AQ21" s="4"/>
      <c r="AR21" s="4"/>
      <c r="AS21" s="4"/>
      <c r="AT21" s="4"/>
      <c r="AU21" s="4"/>
      <c r="AV21" s="4"/>
      <c r="AW21" s="4"/>
    </row>
    <row r="22" spans="1:49" x14ac:dyDescent="0.2">
      <c r="A22" s="37">
        <f t="shared" si="10"/>
        <v>2</v>
      </c>
      <c r="B22" s="31">
        <f t="shared" si="11"/>
        <v>45677</v>
      </c>
      <c r="C22" s="84">
        <f>DAY(EOMONTH(B21,0))</f>
        <v>31</v>
      </c>
      <c r="D22" s="33">
        <f t="shared" si="12"/>
        <v>215.98360655737704</v>
      </c>
      <c r="E22" s="50">
        <f t="shared" si="0"/>
        <v>0</v>
      </c>
      <c r="F22" s="33">
        <f t="shared" si="1"/>
        <v>215.98360655737704</v>
      </c>
      <c r="G22" s="33">
        <f t="shared" si="13"/>
        <v>10000</v>
      </c>
      <c r="H22" s="33"/>
      <c r="I22" s="33"/>
      <c r="J22" s="33"/>
      <c r="K22" s="33"/>
      <c r="L22" s="33"/>
      <c r="M22" s="33"/>
      <c r="N22" s="33"/>
      <c r="O22" s="39"/>
      <c r="P22" s="33"/>
      <c r="Q22" s="33"/>
      <c r="R22" s="33"/>
      <c r="S22" s="33"/>
      <c r="T22" s="42"/>
      <c r="U22" s="42"/>
      <c r="V22" s="42"/>
      <c r="W22" s="41"/>
      <c r="X22" s="31">
        <f t="shared" si="2"/>
        <v>45688</v>
      </c>
      <c r="Y22" s="38">
        <f t="shared" si="3"/>
        <v>0</v>
      </c>
      <c r="Z22" s="38">
        <f t="shared" si="4"/>
        <v>0</v>
      </c>
      <c r="AA22" s="38">
        <f t="shared" si="5"/>
        <v>20</v>
      </c>
      <c r="AB22" s="38">
        <f t="shared" si="6"/>
        <v>11</v>
      </c>
      <c r="AC22" s="38">
        <f t="shared" si="7"/>
        <v>36500</v>
      </c>
      <c r="AD22" s="33">
        <f t="shared" si="8"/>
        <v>0</v>
      </c>
      <c r="AE22" s="33">
        <f t="shared" si="9"/>
        <v>216.57534246575344</v>
      </c>
      <c r="AF22" s="86">
        <f t="shared" ref="AF22:AF44" si="14">IF(A22=E$6,DATE($AI$13,$AH$13+A22,$AG$13-1),IF(A22&gt;$E$6,"",DATE($AI$13,$AH$13+A22,"20")))</f>
        <v>45677</v>
      </c>
      <c r="AG22" s="4"/>
      <c r="AH22" s="4"/>
      <c r="AI22" s="36"/>
      <c r="AJ22" s="4"/>
      <c r="AK22" s="4"/>
      <c r="AL22" s="4"/>
      <c r="AM22" s="4"/>
      <c r="AN22" s="4"/>
      <c r="AO22" s="4"/>
      <c r="AP22" s="4"/>
      <c r="AQ22" s="4"/>
      <c r="AR22" s="4"/>
      <c r="AS22" s="4"/>
      <c r="AT22" s="4"/>
      <c r="AU22" s="4"/>
      <c r="AV22" s="4"/>
      <c r="AW22" s="4"/>
    </row>
    <row r="23" spans="1:49" x14ac:dyDescent="0.2">
      <c r="A23" s="37">
        <f t="shared" si="10"/>
        <v>3</v>
      </c>
      <c r="B23" s="31">
        <f t="shared" si="11"/>
        <v>45708</v>
      </c>
      <c r="C23" s="84">
        <f t="shared" ref="C23:C30" si="15">DAY(EOMONTH(B22,0))</f>
        <v>31</v>
      </c>
      <c r="D23" s="33">
        <f t="shared" si="12"/>
        <v>216.57534246575344</v>
      </c>
      <c r="E23" s="50">
        <f t="shared" si="0"/>
        <v>0</v>
      </c>
      <c r="F23" s="33">
        <f t="shared" si="1"/>
        <v>216.57534246575344</v>
      </c>
      <c r="G23" s="33">
        <f t="shared" si="13"/>
        <v>10000</v>
      </c>
      <c r="H23" s="33"/>
      <c r="I23" s="33"/>
      <c r="J23" s="33"/>
      <c r="K23" s="33"/>
      <c r="L23" s="33"/>
      <c r="M23" s="33"/>
      <c r="N23" s="33"/>
      <c r="O23" s="39"/>
      <c r="P23" s="33"/>
      <c r="Q23" s="33"/>
      <c r="R23" s="33"/>
      <c r="S23" s="33"/>
      <c r="T23" s="42"/>
      <c r="U23" s="42"/>
      <c r="V23" s="42"/>
      <c r="W23" s="41"/>
      <c r="X23" s="31">
        <f t="shared" si="2"/>
        <v>45716</v>
      </c>
      <c r="Y23" s="38">
        <f t="shared" si="3"/>
        <v>0</v>
      </c>
      <c r="Z23" s="38">
        <f t="shared" si="4"/>
        <v>0</v>
      </c>
      <c r="AA23" s="38">
        <f t="shared" si="5"/>
        <v>20</v>
      </c>
      <c r="AB23" s="38">
        <f t="shared" si="6"/>
        <v>8</v>
      </c>
      <c r="AC23" s="38">
        <f t="shared" si="7"/>
        <v>36500</v>
      </c>
      <c r="AD23" s="33">
        <f t="shared" si="8"/>
        <v>0</v>
      </c>
      <c r="AE23" s="33">
        <f t="shared" si="9"/>
        <v>195.61643835616439</v>
      </c>
      <c r="AF23" s="86">
        <f t="shared" si="14"/>
        <v>45708</v>
      </c>
      <c r="AG23" s="4"/>
      <c r="AH23" s="4"/>
      <c r="AI23" s="36"/>
      <c r="AJ23" s="4"/>
      <c r="AK23" s="4"/>
      <c r="AL23" s="4"/>
      <c r="AM23" s="4"/>
      <c r="AN23" s="4"/>
      <c r="AO23" s="4"/>
      <c r="AP23" s="4"/>
      <c r="AQ23" s="4"/>
      <c r="AR23" s="4"/>
      <c r="AS23" s="4"/>
      <c r="AT23" s="4"/>
      <c r="AU23" s="4"/>
      <c r="AV23" s="4"/>
      <c r="AW23" s="4"/>
    </row>
    <row r="24" spans="1:49" x14ac:dyDescent="0.2">
      <c r="A24" s="37">
        <f t="shared" si="10"/>
        <v>4</v>
      </c>
      <c r="B24" s="31">
        <f t="shared" si="11"/>
        <v>45736</v>
      </c>
      <c r="C24" s="84">
        <f t="shared" si="15"/>
        <v>28</v>
      </c>
      <c r="D24" s="33">
        <f t="shared" si="12"/>
        <v>195.61643835616439</v>
      </c>
      <c r="E24" s="50">
        <f t="shared" si="0"/>
        <v>0</v>
      </c>
      <c r="F24" s="33">
        <f t="shared" si="1"/>
        <v>195.61643835616439</v>
      </c>
      <c r="G24" s="33">
        <f t="shared" si="13"/>
        <v>10000</v>
      </c>
      <c r="H24" s="33"/>
      <c r="I24" s="33"/>
      <c r="J24" s="33"/>
      <c r="K24" s="33"/>
      <c r="L24" s="33"/>
      <c r="M24" s="33"/>
      <c r="N24" s="33"/>
      <c r="O24" s="39"/>
      <c r="P24" s="33"/>
      <c r="Q24" s="33"/>
      <c r="R24" s="33"/>
      <c r="S24" s="33"/>
      <c r="T24" s="42"/>
      <c r="U24" s="42"/>
      <c r="V24" s="42"/>
      <c r="W24" s="41"/>
      <c r="X24" s="31">
        <f t="shared" si="2"/>
        <v>45747</v>
      </c>
      <c r="Y24" s="38">
        <f t="shared" si="3"/>
        <v>0</v>
      </c>
      <c r="Z24" s="38">
        <f t="shared" si="4"/>
        <v>0</v>
      </c>
      <c r="AA24" s="38">
        <f t="shared" si="5"/>
        <v>20</v>
      </c>
      <c r="AB24" s="38">
        <f t="shared" si="6"/>
        <v>11</v>
      </c>
      <c r="AC24" s="38">
        <f t="shared" si="7"/>
        <v>36500</v>
      </c>
      <c r="AD24" s="33">
        <f t="shared" si="8"/>
        <v>0</v>
      </c>
      <c r="AE24" s="33">
        <f t="shared" si="9"/>
        <v>216.57534246575344</v>
      </c>
      <c r="AF24" s="86">
        <f t="shared" si="14"/>
        <v>45736</v>
      </c>
      <c r="AG24" s="4"/>
      <c r="AH24" s="4"/>
      <c r="AI24" s="36"/>
      <c r="AJ24" s="4"/>
      <c r="AK24" s="4"/>
      <c r="AL24" s="4"/>
      <c r="AM24" s="4"/>
      <c r="AN24" s="4"/>
      <c r="AO24" s="4"/>
      <c r="AP24" s="4"/>
      <c r="AQ24" s="4"/>
      <c r="AR24" s="4"/>
      <c r="AS24" s="4"/>
      <c r="AT24" s="4"/>
      <c r="AU24" s="4"/>
      <c r="AV24" s="4"/>
      <c r="AW24" s="4"/>
    </row>
    <row r="25" spans="1:49" x14ac:dyDescent="0.2">
      <c r="A25" s="37">
        <f t="shared" si="10"/>
        <v>5</v>
      </c>
      <c r="B25" s="31">
        <f t="shared" si="11"/>
        <v>45767</v>
      </c>
      <c r="C25" s="84">
        <f t="shared" si="15"/>
        <v>31</v>
      </c>
      <c r="D25" s="33">
        <f t="shared" si="12"/>
        <v>216.57534246575344</v>
      </c>
      <c r="E25" s="50">
        <f t="shared" si="0"/>
        <v>0</v>
      </c>
      <c r="F25" s="33">
        <f t="shared" si="1"/>
        <v>216.57534246575344</v>
      </c>
      <c r="G25" s="33">
        <f t="shared" si="13"/>
        <v>10000</v>
      </c>
      <c r="H25" s="33"/>
      <c r="I25" s="33"/>
      <c r="J25" s="33"/>
      <c r="K25" s="33"/>
      <c r="L25" s="33"/>
      <c r="M25" s="33"/>
      <c r="N25" s="33"/>
      <c r="O25" s="33"/>
      <c r="P25" s="33"/>
      <c r="Q25" s="33"/>
      <c r="R25" s="33"/>
      <c r="S25" s="33"/>
      <c r="T25" s="42"/>
      <c r="U25" s="42"/>
      <c r="V25" s="42"/>
      <c r="W25" s="41"/>
      <c r="X25" s="31">
        <f t="shared" si="2"/>
        <v>45777</v>
      </c>
      <c r="Y25" s="38">
        <f t="shared" si="3"/>
        <v>0</v>
      </c>
      <c r="Z25" s="38">
        <f t="shared" si="4"/>
        <v>0</v>
      </c>
      <c r="AA25" s="38">
        <f t="shared" si="5"/>
        <v>20</v>
      </c>
      <c r="AB25" s="38">
        <f t="shared" si="6"/>
        <v>10</v>
      </c>
      <c r="AC25" s="38">
        <f t="shared" si="7"/>
        <v>36500</v>
      </c>
      <c r="AD25" s="33">
        <f t="shared" si="8"/>
        <v>0</v>
      </c>
      <c r="AE25" s="33">
        <f t="shared" si="9"/>
        <v>209.58904109589042</v>
      </c>
      <c r="AF25" s="86">
        <f t="shared" si="14"/>
        <v>45767</v>
      </c>
      <c r="AG25" s="4"/>
      <c r="AH25" s="4"/>
      <c r="AI25" s="36"/>
      <c r="AJ25" s="4"/>
      <c r="AK25" s="4"/>
      <c r="AL25" s="4"/>
      <c r="AM25" s="4"/>
      <c r="AN25" s="4"/>
      <c r="AO25" s="4"/>
      <c r="AP25" s="4"/>
      <c r="AQ25" s="4"/>
      <c r="AR25" s="4"/>
      <c r="AS25" s="4"/>
      <c r="AT25" s="4"/>
      <c r="AU25" s="4"/>
      <c r="AV25" s="4"/>
      <c r="AW25" s="4"/>
    </row>
    <row r="26" spans="1:49" x14ac:dyDescent="0.2">
      <c r="A26" s="37">
        <f t="shared" si="10"/>
        <v>6</v>
      </c>
      <c r="B26" s="31">
        <f t="shared" si="11"/>
        <v>45797</v>
      </c>
      <c r="C26" s="84">
        <f t="shared" si="15"/>
        <v>30</v>
      </c>
      <c r="D26" s="33">
        <f t="shared" si="12"/>
        <v>209.58904109589042</v>
      </c>
      <c r="E26" s="50">
        <f t="shared" si="0"/>
        <v>0</v>
      </c>
      <c r="F26" s="33">
        <f t="shared" si="1"/>
        <v>209.58904109589042</v>
      </c>
      <c r="G26" s="33">
        <f t="shared" si="13"/>
        <v>10000</v>
      </c>
      <c r="H26" s="33"/>
      <c r="I26" s="33"/>
      <c r="J26" s="33"/>
      <c r="K26" s="33"/>
      <c r="L26" s="33"/>
      <c r="M26" s="33"/>
      <c r="N26" s="33"/>
      <c r="O26" s="33"/>
      <c r="P26" s="33"/>
      <c r="Q26" s="33"/>
      <c r="R26" s="33"/>
      <c r="S26" s="33"/>
      <c r="T26" s="42"/>
      <c r="U26" s="42"/>
      <c r="V26" s="42"/>
      <c r="W26" s="41"/>
      <c r="X26" s="31">
        <f t="shared" si="2"/>
        <v>45808</v>
      </c>
      <c r="Y26" s="38">
        <f t="shared" si="3"/>
        <v>0</v>
      </c>
      <c r="Z26" s="38">
        <f t="shared" si="4"/>
        <v>0</v>
      </c>
      <c r="AA26" s="38">
        <f t="shared" si="5"/>
        <v>20</v>
      </c>
      <c r="AB26" s="38">
        <f t="shared" si="6"/>
        <v>11</v>
      </c>
      <c r="AC26" s="38">
        <f t="shared" si="7"/>
        <v>36500</v>
      </c>
      <c r="AD26" s="33">
        <f t="shared" si="8"/>
        <v>0</v>
      </c>
      <c r="AE26" s="33">
        <f t="shared" si="9"/>
        <v>216.57534246575344</v>
      </c>
      <c r="AF26" s="86">
        <f t="shared" si="14"/>
        <v>45797</v>
      </c>
      <c r="AG26" s="4"/>
      <c r="AH26" s="4"/>
      <c r="AI26" s="36"/>
      <c r="AJ26" s="4"/>
      <c r="AK26" s="4"/>
      <c r="AL26" s="4"/>
      <c r="AM26" s="4"/>
      <c r="AN26" s="4"/>
      <c r="AO26" s="4"/>
      <c r="AP26" s="4"/>
      <c r="AQ26" s="4"/>
      <c r="AR26" s="4"/>
      <c r="AS26" s="4"/>
      <c r="AT26" s="4"/>
      <c r="AU26" s="4"/>
      <c r="AV26" s="4"/>
      <c r="AW26" s="4"/>
    </row>
    <row r="27" spans="1:49" x14ac:dyDescent="0.2">
      <c r="A27" s="37">
        <f t="shared" si="10"/>
        <v>7</v>
      </c>
      <c r="B27" s="31">
        <f t="shared" si="11"/>
        <v>45828</v>
      </c>
      <c r="C27" s="84">
        <f t="shared" si="15"/>
        <v>31</v>
      </c>
      <c r="D27" s="33">
        <f t="shared" si="12"/>
        <v>216.57534246575344</v>
      </c>
      <c r="E27" s="50">
        <f t="shared" si="0"/>
        <v>0</v>
      </c>
      <c r="F27" s="33">
        <f t="shared" si="1"/>
        <v>216.57534246575344</v>
      </c>
      <c r="G27" s="33">
        <f t="shared" si="13"/>
        <v>10000</v>
      </c>
      <c r="H27" s="33"/>
      <c r="I27" s="33"/>
      <c r="J27" s="33"/>
      <c r="K27" s="33"/>
      <c r="L27" s="33"/>
      <c r="M27" s="33"/>
      <c r="N27" s="33"/>
      <c r="O27" s="33"/>
      <c r="P27" s="33"/>
      <c r="Q27" s="33"/>
      <c r="R27" s="33"/>
      <c r="S27" s="33"/>
      <c r="T27" s="42"/>
      <c r="U27" s="42"/>
      <c r="V27" s="42"/>
      <c r="W27" s="41"/>
      <c r="X27" s="31">
        <f t="shared" si="2"/>
        <v>45838</v>
      </c>
      <c r="Y27" s="38">
        <f t="shared" si="3"/>
        <v>0</v>
      </c>
      <c r="Z27" s="38">
        <f t="shared" si="4"/>
        <v>0</v>
      </c>
      <c r="AA27" s="38">
        <f t="shared" si="5"/>
        <v>20</v>
      </c>
      <c r="AB27" s="38">
        <f t="shared" si="6"/>
        <v>10</v>
      </c>
      <c r="AC27" s="38">
        <f t="shared" si="7"/>
        <v>36500</v>
      </c>
      <c r="AD27" s="33">
        <f t="shared" si="8"/>
        <v>0</v>
      </c>
      <c r="AE27" s="33">
        <f t="shared" si="9"/>
        <v>209.58904109589042</v>
      </c>
      <c r="AF27" s="86">
        <f t="shared" si="14"/>
        <v>45828</v>
      </c>
      <c r="AG27" s="4"/>
      <c r="AH27" s="4"/>
      <c r="AI27" s="36"/>
      <c r="AJ27" s="4"/>
      <c r="AK27" s="4"/>
      <c r="AL27" s="4"/>
      <c r="AM27" s="4"/>
      <c r="AN27" s="4"/>
      <c r="AO27" s="4"/>
      <c r="AP27" s="4"/>
      <c r="AQ27" s="4"/>
      <c r="AR27" s="4"/>
      <c r="AS27" s="4"/>
      <c r="AT27" s="4"/>
      <c r="AU27" s="4"/>
      <c r="AV27" s="4"/>
      <c r="AW27" s="4"/>
    </row>
    <row r="28" spans="1:49" x14ac:dyDescent="0.2">
      <c r="A28" s="37">
        <f t="shared" si="10"/>
        <v>8</v>
      </c>
      <c r="B28" s="31">
        <f t="shared" si="11"/>
        <v>45858</v>
      </c>
      <c r="C28" s="84">
        <f t="shared" si="15"/>
        <v>30</v>
      </c>
      <c r="D28" s="33">
        <f t="shared" si="12"/>
        <v>209.58904109589042</v>
      </c>
      <c r="E28" s="50">
        <f t="shared" si="0"/>
        <v>0</v>
      </c>
      <c r="F28" s="33">
        <f t="shared" si="1"/>
        <v>209.58904109589042</v>
      </c>
      <c r="G28" s="33">
        <f t="shared" si="13"/>
        <v>10000</v>
      </c>
      <c r="H28" s="33"/>
      <c r="I28" s="33"/>
      <c r="J28" s="33"/>
      <c r="K28" s="33"/>
      <c r="L28" s="33"/>
      <c r="M28" s="33"/>
      <c r="N28" s="33"/>
      <c r="O28" s="33"/>
      <c r="P28" s="33"/>
      <c r="Q28" s="33"/>
      <c r="R28" s="33"/>
      <c r="S28" s="33"/>
      <c r="T28" s="42"/>
      <c r="U28" s="42"/>
      <c r="V28" s="42"/>
      <c r="W28" s="41"/>
      <c r="X28" s="31">
        <f t="shared" si="2"/>
        <v>45869</v>
      </c>
      <c r="Y28" s="38">
        <f t="shared" si="3"/>
        <v>0</v>
      </c>
      <c r="Z28" s="38">
        <f t="shared" si="4"/>
        <v>0</v>
      </c>
      <c r="AA28" s="38">
        <f t="shared" si="5"/>
        <v>20</v>
      </c>
      <c r="AB28" s="38">
        <f t="shared" si="6"/>
        <v>11</v>
      </c>
      <c r="AC28" s="38">
        <f t="shared" si="7"/>
        <v>36500</v>
      </c>
      <c r="AD28" s="33">
        <f t="shared" si="8"/>
        <v>0</v>
      </c>
      <c r="AE28" s="33">
        <f t="shared" si="9"/>
        <v>216.57534246575344</v>
      </c>
      <c r="AF28" s="86">
        <f t="shared" si="14"/>
        <v>45858</v>
      </c>
      <c r="AG28" s="4"/>
      <c r="AH28" s="4"/>
      <c r="AI28" s="36"/>
      <c r="AJ28" s="4"/>
      <c r="AK28" s="4"/>
      <c r="AL28" s="4"/>
      <c r="AM28" s="4"/>
      <c r="AN28" s="4"/>
      <c r="AO28" s="4"/>
      <c r="AP28" s="4"/>
      <c r="AQ28" s="4"/>
      <c r="AR28" s="4"/>
      <c r="AS28" s="4"/>
      <c r="AT28" s="4"/>
      <c r="AU28" s="4"/>
      <c r="AV28" s="4"/>
      <c r="AW28" s="4"/>
    </row>
    <row r="29" spans="1:49" x14ac:dyDescent="0.2">
      <c r="A29" s="37">
        <f t="shared" si="10"/>
        <v>9</v>
      </c>
      <c r="B29" s="31">
        <f t="shared" si="11"/>
        <v>45889</v>
      </c>
      <c r="C29" s="84">
        <f t="shared" si="15"/>
        <v>31</v>
      </c>
      <c r="D29" s="33">
        <f t="shared" si="12"/>
        <v>216.57534246575344</v>
      </c>
      <c r="E29" s="50">
        <f t="shared" si="0"/>
        <v>0</v>
      </c>
      <c r="F29" s="33">
        <f t="shared" si="1"/>
        <v>216.57534246575344</v>
      </c>
      <c r="G29" s="33">
        <f t="shared" si="13"/>
        <v>10000</v>
      </c>
      <c r="H29" s="33"/>
      <c r="I29" s="33"/>
      <c r="J29" s="33"/>
      <c r="K29" s="33"/>
      <c r="L29" s="33"/>
      <c r="M29" s="33"/>
      <c r="N29" s="33"/>
      <c r="O29" s="33"/>
      <c r="P29" s="33"/>
      <c r="Q29" s="33"/>
      <c r="R29" s="33"/>
      <c r="S29" s="33"/>
      <c r="T29" s="42"/>
      <c r="U29" s="42"/>
      <c r="V29" s="42"/>
      <c r="W29" s="41"/>
      <c r="X29" s="31">
        <f t="shared" si="2"/>
        <v>45900</v>
      </c>
      <c r="Y29" s="38">
        <f t="shared" si="3"/>
        <v>0</v>
      </c>
      <c r="Z29" s="38">
        <f t="shared" si="4"/>
        <v>0</v>
      </c>
      <c r="AA29" s="38">
        <f t="shared" si="5"/>
        <v>20</v>
      </c>
      <c r="AB29" s="38">
        <f t="shared" si="6"/>
        <v>11</v>
      </c>
      <c r="AC29" s="38">
        <f t="shared" si="7"/>
        <v>36500</v>
      </c>
      <c r="AD29" s="33">
        <f t="shared" si="8"/>
        <v>0</v>
      </c>
      <c r="AE29" s="33">
        <f t="shared" si="9"/>
        <v>216.57534246575344</v>
      </c>
      <c r="AF29" s="86">
        <f t="shared" si="14"/>
        <v>45889</v>
      </c>
      <c r="AG29" s="4"/>
      <c r="AH29" s="4"/>
      <c r="AI29" s="36"/>
      <c r="AJ29" s="4"/>
      <c r="AK29" s="4"/>
      <c r="AL29" s="4"/>
      <c r="AM29" s="4"/>
      <c r="AN29" s="4"/>
      <c r="AO29" s="4"/>
      <c r="AP29" s="4"/>
      <c r="AQ29" s="4"/>
      <c r="AR29" s="4"/>
      <c r="AS29" s="4"/>
      <c r="AT29" s="4"/>
      <c r="AU29" s="4"/>
      <c r="AV29" s="4"/>
      <c r="AW29" s="4"/>
    </row>
    <row r="30" spans="1:49" x14ac:dyDescent="0.2">
      <c r="A30" s="37">
        <f t="shared" si="10"/>
        <v>10</v>
      </c>
      <c r="B30" s="31">
        <f t="shared" si="11"/>
        <v>45920</v>
      </c>
      <c r="C30" s="84">
        <f t="shared" si="15"/>
        <v>31</v>
      </c>
      <c r="D30" s="33">
        <f t="shared" si="12"/>
        <v>216.57534246575344</v>
      </c>
      <c r="E30" s="50">
        <f t="shared" si="0"/>
        <v>0</v>
      </c>
      <c r="F30" s="33">
        <f t="shared" si="1"/>
        <v>216.57534246575344</v>
      </c>
      <c r="G30" s="33">
        <f t="shared" si="13"/>
        <v>10000</v>
      </c>
      <c r="H30" s="33"/>
      <c r="I30" s="33"/>
      <c r="J30" s="33"/>
      <c r="K30" s="33"/>
      <c r="L30" s="33"/>
      <c r="M30" s="33"/>
      <c r="N30" s="33"/>
      <c r="O30" s="33"/>
      <c r="P30" s="33"/>
      <c r="Q30" s="33"/>
      <c r="R30" s="33"/>
      <c r="S30" s="33"/>
      <c r="T30" s="42"/>
      <c r="U30" s="42"/>
      <c r="V30" s="42"/>
      <c r="W30" s="41"/>
      <c r="X30" s="31">
        <f t="shared" si="2"/>
        <v>45930</v>
      </c>
      <c r="Y30" s="38">
        <f t="shared" si="3"/>
        <v>0</v>
      </c>
      <c r="Z30" s="38">
        <f t="shared" si="4"/>
        <v>0</v>
      </c>
      <c r="AA30" s="38">
        <f t="shared" si="5"/>
        <v>20</v>
      </c>
      <c r="AB30" s="38">
        <f t="shared" si="6"/>
        <v>10</v>
      </c>
      <c r="AC30" s="38">
        <f t="shared" si="7"/>
        <v>36500</v>
      </c>
      <c r="AD30" s="33">
        <f t="shared" si="8"/>
        <v>0</v>
      </c>
      <c r="AE30" s="33">
        <f t="shared" si="9"/>
        <v>209.58904109589042</v>
      </c>
      <c r="AF30" s="86">
        <f t="shared" si="14"/>
        <v>45920</v>
      </c>
      <c r="AG30" s="4"/>
      <c r="AH30" s="4"/>
      <c r="AI30" s="36"/>
      <c r="AJ30" s="4"/>
      <c r="AK30" s="4"/>
      <c r="AL30" s="4"/>
      <c r="AM30" s="4"/>
      <c r="AN30" s="4"/>
      <c r="AO30" s="4"/>
      <c r="AP30" s="4"/>
      <c r="AQ30" s="4"/>
      <c r="AR30" s="4"/>
      <c r="AS30" s="4"/>
      <c r="AT30" s="4"/>
      <c r="AU30" s="4"/>
      <c r="AV30" s="4"/>
      <c r="AW30" s="4"/>
    </row>
    <row r="31" spans="1:49" x14ac:dyDescent="0.2">
      <c r="A31" s="37">
        <f>IF(A30&gt;=$E$6,"",A30+1)</f>
        <v>11</v>
      </c>
      <c r="B31" s="31">
        <f t="shared" si="11"/>
        <v>45950</v>
      </c>
      <c r="C31" s="84">
        <f>DAY(EOMONTH(B30,0))</f>
        <v>30</v>
      </c>
      <c r="D31" s="33">
        <f t="shared" si="12"/>
        <v>209.58904109589042</v>
      </c>
      <c r="E31" s="50">
        <f>IFERROR((IF(B31="","",IF(E$4="Кредитка",IF(A31&lt;AG$14,G30*10%,G30),IF(A31&lt;$AG$15,0,G30/($AG$14-A31+1))))),0)</f>
        <v>0</v>
      </c>
      <c r="F31" s="33">
        <f>IF(A31&gt;$E$6+1,"",IF(A31&lt;&gt;$E$6,AD30+AE30,AD30+AE30+AD31+AE31))</f>
        <v>209.58904109589042</v>
      </c>
      <c r="G31" s="33">
        <f>IF(B31="","",G30-E31)</f>
        <v>10000</v>
      </c>
      <c r="H31" s="33"/>
      <c r="I31" s="33"/>
      <c r="J31" s="33"/>
      <c r="K31" s="33"/>
      <c r="L31" s="33"/>
      <c r="M31" s="33"/>
      <c r="N31" s="33"/>
      <c r="O31" s="33"/>
      <c r="P31" s="33"/>
      <c r="Q31" s="33"/>
      <c r="R31" s="33"/>
      <c r="S31" s="33"/>
      <c r="T31" s="42"/>
      <c r="U31" s="42"/>
      <c r="V31" s="42"/>
      <c r="W31" s="41"/>
      <c r="X31" s="31">
        <f t="shared" si="2"/>
        <v>45961</v>
      </c>
      <c r="Y31" s="38">
        <f t="shared" si="3"/>
        <v>0</v>
      </c>
      <c r="Z31" s="38">
        <f t="shared" si="4"/>
        <v>0</v>
      </c>
      <c r="AA31" s="38">
        <f t="shared" si="5"/>
        <v>20</v>
      </c>
      <c r="AB31" s="38">
        <f t="shared" si="6"/>
        <v>11</v>
      </c>
      <c r="AC31" s="38">
        <f t="shared" si="7"/>
        <v>36500</v>
      </c>
      <c r="AD31" s="33">
        <f>IF(Y31&lt;&gt;0,$G31*$E$8*Y31/AC31,IF(Z31&lt;&gt;0,$G30*$E$8*Z31/AC31,0))</f>
        <v>0</v>
      </c>
      <c r="AE31" s="33">
        <f>IF(AD31&lt;&gt;0,0,(G30*$E$8*AA31/AC31)+(G31*$E$8*AB31/AC31))</f>
        <v>216.57534246575344</v>
      </c>
      <c r="AF31" s="86">
        <f t="shared" si="14"/>
        <v>45950</v>
      </c>
      <c r="AG31" s="4"/>
      <c r="AH31" s="4"/>
      <c r="AI31" s="36"/>
      <c r="AJ31" s="4"/>
      <c r="AK31" s="4"/>
      <c r="AL31" s="4"/>
      <c r="AM31" s="4"/>
      <c r="AN31" s="4"/>
      <c r="AO31" s="4"/>
      <c r="AP31" s="4"/>
      <c r="AQ31" s="4"/>
      <c r="AR31" s="4"/>
      <c r="AS31" s="4"/>
      <c r="AT31" s="4"/>
      <c r="AU31" s="4"/>
      <c r="AV31" s="4"/>
      <c r="AW31" s="4"/>
    </row>
    <row r="32" spans="1:49" x14ac:dyDescent="0.2">
      <c r="A32" s="37">
        <f t="shared" ref="A32:A56" si="16">IF(A31&gt;=$E$6,"",A31+1)</f>
        <v>12</v>
      </c>
      <c r="B32" s="31">
        <f t="shared" si="11"/>
        <v>45981</v>
      </c>
      <c r="C32" s="84">
        <f t="shared" ref="C32:C40" si="17">DAY(EOMONTH(B31,0))</f>
        <v>31</v>
      </c>
      <c r="D32" s="33">
        <f t="shared" ref="D32:D40" si="18">IF(B32="","",E32+F32+I32+M32+N32+O32+P32+Q32+R32+S32)</f>
        <v>216.57534246575344</v>
      </c>
      <c r="E32" s="50">
        <f t="shared" ref="E32:E40" si="19">IFERROR((IF(B32="","",IF(E$4="Кредитка",IF(A32&lt;AG$14,G31*10%,G31),IF(A32&lt;$AG$15,0,G31/($AG$14-A32+1))))),0)</f>
        <v>0</v>
      </c>
      <c r="F32" s="33">
        <f t="shared" ref="F32:F40" si="20">IF(A32&gt;$E$6+1,"",IF(A32&lt;&gt;$E$6,AD31+AE31,AD31+AE31+AD32+AE32))</f>
        <v>216.57534246575344</v>
      </c>
      <c r="G32" s="33">
        <f t="shared" ref="G32:G40" si="21">IF(B32="","",G31-E32)</f>
        <v>10000</v>
      </c>
      <c r="H32" s="33"/>
      <c r="I32" s="33"/>
      <c r="J32" s="33"/>
      <c r="K32" s="33"/>
      <c r="L32" s="33"/>
      <c r="M32" s="33"/>
      <c r="N32" s="33"/>
      <c r="O32" s="33"/>
      <c r="P32" s="33"/>
      <c r="Q32" s="33"/>
      <c r="R32" s="33"/>
      <c r="S32" s="33"/>
      <c r="T32" s="42"/>
      <c r="U32" s="42"/>
      <c r="V32" s="42"/>
      <c r="W32" s="41"/>
      <c r="X32" s="31">
        <f t="shared" ref="X32:X43" si="22">EOMONTH(B32,0)</f>
        <v>45991</v>
      </c>
      <c r="Y32" s="38">
        <f t="shared" ref="Y32:Y43" si="23">IF(B32=$E$5,X32-B32+1,0)</f>
        <v>0</v>
      </c>
      <c r="Z32" s="38">
        <f t="shared" ref="Z32:Z43" si="24">IF(A32=0,0,IF(A32=$E$6,DAY(B32)-1,0))</f>
        <v>0</v>
      </c>
      <c r="AA32" s="38">
        <f t="shared" ref="AA32:AA43" si="25">IF(OR(Y32&lt;&gt;0,Z32&lt;&gt;0),0,20)</f>
        <v>20</v>
      </c>
      <c r="AB32" s="38">
        <f t="shared" ref="AB32:AB43" si="26">IF(AA32=0,0,DAY(X32)-AA32)</f>
        <v>10</v>
      </c>
      <c r="AC32" s="38">
        <f t="shared" ref="AC32:AC43" si="27">CHOOSE(VLOOKUP($L$5,$AG$4:$AH$5,2,0),36000,IF(MONTH(DATE(YEAR(B32),2,29))=2,36600,36500))</f>
        <v>36500</v>
      </c>
      <c r="AD32" s="33">
        <f t="shared" ref="AD32:AD43" si="28">IF(Y32&lt;&gt;0,$G32*$E$8*Y32/AC32,IF(Z32&lt;&gt;0,$G31*$E$8*Z32/AC32,0))</f>
        <v>0</v>
      </c>
      <c r="AE32" s="33">
        <f t="shared" ref="AE32:AE43" si="29">IF(AD32&lt;&gt;0,0,(G31*$E$8*AA32/AC32)+(G32*$E$8*AB32/AC32))</f>
        <v>209.58904109589042</v>
      </c>
      <c r="AF32" s="86">
        <f t="shared" si="14"/>
        <v>45981</v>
      </c>
      <c r="AG32" s="4"/>
      <c r="AH32" s="4"/>
      <c r="AI32" s="36"/>
      <c r="AJ32" s="4"/>
      <c r="AK32" s="4"/>
      <c r="AL32" s="4"/>
      <c r="AM32" s="4"/>
      <c r="AN32" s="4"/>
      <c r="AO32" s="4"/>
      <c r="AP32" s="4"/>
      <c r="AQ32" s="4"/>
      <c r="AR32" s="4"/>
      <c r="AS32" s="4"/>
      <c r="AT32" s="4"/>
      <c r="AU32" s="4"/>
      <c r="AV32" s="4"/>
      <c r="AW32" s="4"/>
    </row>
    <row r="33" spans="1:49" x14ac:dyDescent="0.2">
      <c r="A33" s="37">
        <f t="shared" si="16"/>
        <v>13</v>
      </c>
      <c r="B33" s="31">
        <f t="shared" si="11"/>
        <v>46011</v>
      </c>
      <c r="C33" s="84">
        <f t="shared" si="17"/>
        <v>30</v>
      </c>
      <c r="D33" s="33">
        <f t="shared" si="18"/>
        <v>209.58904109589042</v>
      </c>
      <c r="E33" s="50">
        <f t="shared" si="19"/>
        <v>0</v>
      </c>
      <c r="F33" s="33">
        <f t="shared" si="20"/>
        <v>209.58904109589042</v>
      </c>
      <c r="G33" s="33">
        <f t="shared" si="21"/>
        <v>10000</v>
      </c>
      <c r="H33" s="33"/>
      <c r="I33" s="33"/>
      <c r="J33" s="33"/>
      <c r="K33" s="33"/>
      <c r="L33" s="33"/>
      <c r="M33" s="33"/>
      <c r="N33" s="33"/>
      <c r="O33" s="33"/>
      <c r="P33" s="33"/>
      <c r="Q33" s="33"/>
      <c r="R33" s="33"/>
      <c r="S33" s="33"/>
      <c r="T33" s="42"/>
      <c r="U33" s="42"/>
      <c r="V33" s="42"/>
      <c r="W33" s="41"/>
      <c r="X33" s="31">
        <f t="shared" si="22"/>
        <v>46022</v>
      </c>
      <c r="Y33" s="38">
        <f t="shared" si="23"/>
        <v>0</v>
      </c>
      <c r="Z33" s="38">
        <f t="shared" si="24"/>
        <v>0</v>
      </c>
      <c r="AA33" s="38">
        <f t="shared" si="25"/>
        <v>20</v>
      </c>
      <c r="AB33" s="38">
        <f t="shared" si="26"/>
        <v>11</v>
      </c>
      <c r="AC33" s="38">
        <f t="shared" si="27"/>
        <v>36500</v>
      </c>
      <c r="AD33" s="33">
        <f t="shared" si="28"/>
        <v>0</v>
      </c>
      <c r="AE33" s="33">
        <f t="shared" si="29"/>
        <v>216.57534246575344</v>
      </c>
      <c r="AF33" s="86">
        <f t="shared" si="14"/>
        <v>46011</v>
      </c>
      <c r="AG33" s="4"/>
      <c r="AH33" s="4"/>
      <c r="AI33" s="36"/>
      <c r="AJ33" s="4"/>
      <c r="AK33" s="4"/>
      <c r="AL33" s="4"/>
      <c r="AM33" s="4"/>
      <c r="AN33" s="4"/>
      <c r="AO33" s="4"/>
      <c r="AP33" s="4"/>
      <c r="AQ33" s="4"/>
      <c r="AR33" s="4"/>
      <c r="AS33" s="4"/>
      <c r="AT33" s="4"/>
      <c r="AU33" s="4"/>
      <c r="AV33" s="4"/>
      <c r="AW33" s="4"/>
    </row>
    <row r="34" spans="1:49" x14ac:dyDescent="0.2">
      <c r="A34" s="37">
        <f t="shared" si="16"/>
        <v>14</v>
      </c>
      <c r="B34" s="31">
        <f t="shared" si="11"/>
        <v>46042</v>
      </c>
      <c r="C34" s="84">
        <f t="shared" si="17"/>
        <v>31</v>
      </c>
      <c r="D34" s="33">
        <f t="shared" si="18"/>
        <v>216.57534246575344</v>
      </c>
      <c r="E34" s="50">
        <f t="shared" si="19"/>
        <v>0</v>
      </c>
      <c r="F34" s="33">
        <f t="shared" si="20"/>
        <v>216.57534246575344</v>
      </c>
      <c r="G34" s="33">
        <f t="shared" si="21"/>
        <v>10000</v>
      </c>
      <c r="H34" s="33"/>
      <c r="I34" s="33"/>
      <c r="J34" s="33"/>
      <c r="K34" s="33"/>
      <c r="L34" s="33"/>
      <c r="M34" s="33"/>
      <c r="N34" s="33"/>
      <c r="O34" s="33"/>
      <c r="P34" s="33"/>
      <c r="Q34" s="33"/>
      <c r="R34" s="33"/>
      <c r="S34" s="33"/>
      <c r="T34" s="42"/>
      <c r="U34" s="42"/>
      <c r="V34" s="42"/>
      <c r="W34" s="41"/>
      <c r="X34" s="31">
        <f t="shared" si="22"/>
        <v>46053</v>
      </c>
      <c r="Y34" s="38">
        <f t="shared" si="23"/>
        <v>0</v>
      </c>
      <c r="Z34" s="38">
        <f t="shared" si="24"/>
        <v>0</v>
      </c>
      <c r="AA34" s="38">
        <f t="shared" si="25"/>
        <v>20</v>
      </c>
      <c r="AB34" s="38">
        <f t="shared" si="26"/>
        <v>11</v>
      </c>
      <c r="AC34" s="38">
        <f t="shared" si="27"/>
        <v>36500</v>
      </c>
      <c r="AD34" s="33">
        <f t="shared" si="28"/>
        <v>0</v>
      </c>
      <c r="AE34" s="33">
        <f t="shared" si="29"/>
        <v>216.57534246575344</v>
      </c>
      <c r="AF34" s="86">
        <f t="shared" si="14"/>
        <v>46042</v>
      </c>
      <c r="AG34" s="4"/>
      <c r="AH34" s="4"/>
      <c r="AI34" s="36"/>
      <c r="AJ34" s="4"/>
      <c r="AK34" s="4"/>
      <c r="AL34" s="4"/>
      <c r="AM34" s="4"/>
      <c r="AN34" s="4"/>
      <c r="AO34" s="4"/>
      <c r="AP34" s="4"/>
      <c r="AQ34" s="4"/>
      <c r="AR34" s="4"/>
      <c r="AS34" s="4"/>
      <c r="AT34" s="4"/>
      <c r="AU34" s="4"/>
      <c r="AV34" s="4"/>
      <c r="AW34" s="4"/>
    </row>
    <row r="35" spans="1:49" x14ac:dyDescent="0.2">
      <c r="A35" s="37">
        <f t="shared" si="16"/>
        <v>15</v>
      </c>
      <c r="B35" s="31">
        <f t="shared" si="11"/>
        <v>46073</v>
      </c>
      <c r="C35" s="84">
        <f t="shared" si="17"/>
        <v>31</v>
      </c>
      <c r="D35" s="33">
        <f t="shared" si="18"/>
        <v>216.57534246575344</v>
      </c>
      <c r="E35" s="50">
        <f t="shared" si="19"/>
        <v>0</v>
      </c>
      <c r="F35" s="33">
        <f t="shared" si="20"/>
        <v>216.57534246575344</v>
      </c>
      <c r="G35" s="33">
        <f t="shared" si="21"/>
        <v>10000</v>
      </c>
      <c r="H35" s="33"/>
      <c r="I35" s="33"/>
      <c r="J35" s="33"/>
      <c r="K35" s="33"/>
      <c r="L35" s="33"/>
      <c r="M35" s="33"/>
      <c r="N35" s="33"/>
      <c r="O35" s="33"/>
      <c r="P35" s="33"/>
      <c r="Q35" s="33"/>
      <c r="R35" s="33"/>
      <c r="S35" s="33"/>
      <c r="T35" s="42"/>
      <c r="U35" s="42"/>
      <c r="V35" s="42"/>
      <c r="W35" s="41"/>
      <c r="X35" s="31">
        <f t="shared" si="22"/>
        <v>46081</v>
      </c>
      <c r="Y35" s="38">
        <f t="shared" si="23"/>
        <v>0</v>
      </c>
      <c r="Z35" s="38">
        <f t="shared" si="24"/>
        <v>0</v>
      </c>
      <c r="AA35" s="38">
        <f t="shared" si="25"/>
        <v>20</v>
      </c>
      <c r="AB35" s="38">
        <f t="shared" si="26"/>
        <v>8</v>
      </c>
      <c r="AC35" s="38">
        <f t="shared" si="27"/>
        <v>36500</v>
      </c>
      <c r="AD35" s="33">
        <f t="shared" si="28"/>
        <v>0</v>
      </c>
      <c r="AE35" s="33">
        <f t="shared" si="29"/>
        <v>195.61643835616439</v>
      </c>
      <c r="AF35" s="86">
        <f t="shared" si="14"/>
        <v>46073</v>
      </c>
      <c r="AG35" s="4"/>
      <c r="AH35" s="4"/>
      <c r="AI35" s="36"/>
      <c r="AJ35" s="4"/>
      <c r="AK35" s="4"/>
      <c r="AL35" s="4"/>
      <c r="AM35" s="4"/>
      <c r="AN35" s="4"/>
      <c r="AO35" s="4"/>
      <c r="AP35" s="4"/>
      <c r="AQ35" s="4"/>
      <c r="AR35" s="4"/>
      <c r="AS35" s="4"/>
      <c r="AT35" s="4"/>
      <c r="AU35" s="4"/>
      <c r="AV35" s="4"/>
      <c r="AW35" s="4"/>
    </row>
    <row r="36" spans="1:49" x14ac:dyDescent="0.2">
      <c r="A36" s="37">
        <f t="shared" si="16"/>
        <v>16</v>
      </c>
      <c r="B36" s="31">
        <f t="shared" si="11"/>
        <v>46101</v>
      </c>
      <c r="C36" s="84">
        <f t="shared" si="17"/>
        <v>28</v>
      </c>
      <c r="D36" s="33">
        <f t="shared" si="18"/>
        <v>195.61643835616439</v>
      </c>
      <c r="E36" s="50">
        <f t="shared" si="19"/>
        <v>0</v>
      </c>
      <c r="F36" s="33">
        <f t="shared" si="20"/>
        <v>195.61643835616439</v>
      </c>
      <c r="G36" s="33">
        <f t="shared" si="21"/>
        <v>10000</v>
      </c>
      <c r="H36" s="33"/>
      <c r="I36" s="33"/>
      <c r="J36" s="33"/>
      <c r="K36" s="33"/>
      <c r="L36" s="33"/>
      <c r="M36" s="33"/>
      <c r="N36" s="33"/>
      <c r="O36" s="33"/>
      <c r="P36" s="33"/>
      <c r="Q36" s="33"/>
      <c r="R36" s="33"/>
      <c r="S36" s="33"/>
      <c r="T36" s="42"/>
      <c r="U36" s="42"/>
      <c r="V36" s="42"/>
      <c r="W36" s="41"/>
      <c r="X36" s="31">
        <f t="shared" si="22"/>
        <v>46112</v>
      </c>
      <c r="Y36" s="38">
        <f t="shared" si="23"/>
        <v>0</v>
      </c>
      <c r="Z36" s="38">
        <f t="shared" si="24"/>
        <v>0</v>
      </c>
      <c r="AA36" s="38">
        <f t="shared" si="25"/>
        <v>20</v>
      </c>
      <c r="AB36" s="38">
        <f t="shared" si="26"/>
        <v>11</v>
      </c>
      <c r="AC36" s="38">
        <f t="shared" si="27"/>
        <v>36500</v>
      </c>
      <c r="AD36" s="33">
        <f t="shared" si="28"/>
        <v>0</v>
      </c>
      <c r="AE36" s="33">
        <f t="shared" si="29"/>
        <v>216.57534246575344</v>
      </c>
      <c r="AF36" s="86">
        <f t="shared" si="14"/>
        <v>46101</v>
      </c>
      <c r="AG36" s="4"/>
      <c r="AH36" s="4"/>
      <c r="AI36" s="36"/>
      <c r="AJ36" s="4"/>
      <c r="AK36" s="4"/>
      <c r="AL36" s="4"/>
      <c r="AM36" s="4"/>
      <c r="AN36" s="4"/>
      <c r="AO36" s="4"/>
      <c r="AP36" s="4"/>
      <c r="AQ36" s="4"/>
      <c r="AR36" s="4"/>
      <c r="AS36" s="4"/>
      <c r="AT36" s="4"/>
      <c r="AU36" s="4"/>
      <c r="AV36" s="4"/>
      <c r="AW36" s="4"/>
    </row>
    <row r="37" spans="1:49" x14ac:dyDescent="0.2">
      <c r="A37" s="37">
        <f t="shared" si="16"/>
        <v>17</v>
      </c>
      <c r="B37" s="31">
        <f t="shared" si="11"/>
        <v>46132</v>
      </c>
      <c r="C37" s="84">
        <f t="shared" si="17"/>
        <v>31</v>
      </c>
      <c r="D37" s="33">
        <f t="shared" si="18"/>
        <v>216.57534246575344</v>
      </c>
      <c r="E37" s="50">
        <f t="shared" si="19"/>
        <v>0</v>
      </c>
      <c r="F37" s="33">
        <f t="shared" si="20"/>
        <v>216.57534246575344</v>
      </c>
      <c r="G37" s="33">
        <f t="shared" si="21"/>
        <v>10000</v>
      </c>
      <c r="H37" s="33"/>
      <c r="I37" s="33"/>
      <c r="J37" s="33"/>
      <c r="K37" s="33"/>
      <c r="L37" s="33"/>
      <c r="M37" s="33"/>
      <c r="N37" s="33"/>
      <c r="O37" s="33"/>
      <c r="P37" s="33"/>
      <c r="Q37" s="33"/>
      <c r="R37" s="33"/>
      <c r="S37" s="33"/>
      <c r="T37" s="42"/>
      <c r="U37" s="42"/>
      <c r="V37" s="42"/>
      <c r="W37" s="41"/>
      <c r="X37" s="31">
        <f t="shared" si="22"/>
        <v>46142</v>
      </c>
      <c r="Y37" s="38">
        <f t="shared" si="23"/>
        <v>0</v>
      </c>
      <c r="Z37" s="38">
        <f t="shared" si="24"/>
        <v>0</v>
      </c>
      <c r="AA37" s="38">
        <f t="shared" si="25"/>
        <v>20</v>
      </c>
      <c r="AB37" s="38">
        <f t="shared" si="26"/>
        <v>10</v>
      </c>
      <c r="AC37" s="38">
        <f t="shared" si="27"/>
        <v>36500</v>
      </c>
      <c r="AD37" s="33">
        <f t="shared" si="28"/>
        <v>0</v>
      </c>
      <c r="AE37" s="33">
        <f t="shared" si="29"/>
        <v>209.58904109589042</v>
      </c>
      <c r="AF37" s="86">
        <f t="shared" si="14"/>
        <v>46132</v>
      </c>
      <c r="AG37" s="4"/>
      <c r="AH37" s="4"/>
      <c r="AI37" s="36"/>
      <c r="AJ37" s="4"/>
      <c r="AK37" s="4"/>
      <c r="AL37" s="4"/>
      <c r="AM37" s="4"/>
      <c r="AN37" s="4"/>
      <c r="AO37" s="4"/>
      <c r="AP37" s="4"/>
      <c r="AQ37" s="4"/>
      <c r="AR37" s="4"/>
      <c r="AS37" s="4"/>
      <c r="AT37" s="4"/>
      <c r="AU37" s="4"/>
      <c r="AV37" s="4"/>
      <c r="AW37" s="4"/>
    </row>
    <row r="38" spans="1:49" x14ac:dyDescent="0.2">
      <c r="A38" s="37">
        <f t="shared" si="16"/>
        <v>18</v>
      </c>
      <c r="B38" s="31">
        <f t="shared" si="11"/>
        <v>46162</v>
      </c>
      <c r="C38" s="84">
        <f t="shared" si="17"/>
        <v>30</v>
      </c>
      <c r="D38" s="33">
        <f t="shared" si="18"/>
        <v>209.58904109589042</v>
      </c>
      <c r="E38" s="50">
        <f t="shared" si="19"/>
        <v>0</v>
      </c>
      <c r="F38" s="33">
        <f t="shared" si="20"/>
        <v>209.58904109589042</v>
      </c>
      <c r="G38" s="33">
        <f t="shared" si="21"/>
        <v>10000</v>
      </c>
      <c r="H38" s="33"/>
      <c r="I38" s="33"/>
      <c r="J38" s="33"/>
      <c r="K38" s="33"/>
      <c r="L38" s="33"/>
      <c r="M38" s="33"/>
      <c r="N38" s="33"/>
      <c r="O38" s="33"/>
      <c r="P38" s="33"/>
      <c r="Q38" s="33"/>
      <c r="R38" s="33"/>
      <c r="S38" s="33"/>
      <c r="T38" s="42"/>
      <c r="U38" s="42"/>
      <c r="V38" s="42"/>
      <c r="W38" s="41"/>
      <c r="X38" s="31">
        <f t="shared" si="22"/>
        <v>46173</v>
      </c>
      <c r="Y38" s="38">
        <f t="shared" si="23"/>
        <v>0</v>
      </c>
      <c r="Z38" s="38">
        <f t="shared" si="24"/>
        <v>0</v>
      </c>
      <c r="AA38" s="38">
        <f t="shared" si="25"/>
        <v>20</v>
      </c>
      <c r="AB38" s="38">
        <f t="shared" si="26"/>
        <v>11</v>
      </c>
      <c r="AC38" s="38">
        <f t="shared" si="27"/>
        <v>36500</v>
      </c>
      <c r="AD38" s="33">
        <f t="shared" si="28"/>
        <v>0</v>
      </c>
      <c r="AE38" s="33">
        <f t="shared" si="29"/>
        <v>216.57534246575344</v>
      </c>
      <c r="AF38" s="86">
        <f t="shared" si="14"/>
        <v>46162</v>
      </c>
      <c r="AG38" s="4"/>
      <c r="AH38" s="4"/>
      <c r="AI38" s="36"/>
      <c r="AJ38" s="4"/>
      <c r="AK38" s="4"/>
      <c r="AL38" s="4"/>
      <c r="AM38" s="4"/>
      <c r="AN38" s="4"/>
      <c r="AO38" s="4"/>
      <c r="AP38" s="4"/>
      <c r="AQ38" s="4"/>
      <c r="AR38" s="4"/>
      <c r="AS38" s="4"/>
      <c r="AT38" s="4"/>
      <c r="AU38" s="4"/>
      <c r="AV38" s="4"/>
      <c r="AW38" s="4"/>
    </row>
    <row r="39" spans="1:49" x14ac:dyDescent="0.2">
      <c r="A39" s="37">
        <f t="shared" si="16"/>
        <v>19</v>
      </c>
      <c r="B39" s="31">
        <f t="shared" si="11"/>
        <v>46193</v>
      </c>
      <c r="C39" s="84">
        <f t="shared" si="17"/>
        <v>31</v>
      </c>
      <c r="D39" s="33">
        <f t="shared" si="18"/>
        <v>216.57534246575344</v>
      </c>
      <c r="E39" s="50">
        <f t="shared" si="19"/>
        <v>0</v>
      </c>
      <c r="F39" s="33">
        <f t="shared" si="20"/>
        <v>216.57534246575344</v>
      </c>
      <c r="G39" s="33">
        <f t="shared" si="21"/>
        <v>10000</v>
      </c>
      <c r="H39" s="33"/>
      <c r="I39" s="33"/>
      <c r="J39" s="33"/>
      <c r="K39" s="33"/>
      <c r="L39" s="33"/>
      <c r="M39" s="33"/>
      <c r="N39" s="33"/>
      <c r="O39" s="33"/>
      <c r="P39" s="33"/>
      <c r="Q39" s="33"/>
      <c r="R39" s="33"/>
      <c r="S39" s="33"/>
      <c r="T39" s="42"/>
      <c r="U39" s="42"/>
      <c r="V39" s="42"/>
      <c r="W39" s="41"/>
      <c r="X39" s="31">
        <f t="shared" si="22"/>
        <v>46203</v>
      </c>
      <c r="Y39" s="38">
        <f t="shared" si="23"/>
        <v>0</v>
      </c>
      <c r="Z39" s="38">
        <f t="shared" si="24"/>
        <v>0</v>
      </c>
      <c r="AA39" s="38">
        <f t="shared" si="25"/>
        <v>20</v>
      </c>
      <c r="AB39" s="38">
        <f t="shared" si="26"/>
        <v>10</v>
      </c>
      <c r="AC39" s="38">
        <f t="shared" si="27"/>
        <v>36500</v>
      </c>
      <c r="AD39" s="33">
        <f t="shared" si="28"/>
        <v>0</v>
      </c>
      <c r="AE39" s="33">
        <f t="shared" si="29"/>
        <v>209.58904109589042</v>
      </c>
      <c r="AF39" s="86">
        <f t="shared" si="14"/>
        <v>46193</v>
      </c>
      <c r="AG39" s="4"/>
      <c r="AH39" s="4"/>
      <c r="AI39" s="36"/>
      <c r="AJ39" s="4"/>
      <c r="AK39" s="4"/>
      <c r="AL39" s="4"/>
      <c r="AM39" s="4"/>
      <c r="AN39" s="4"/>
      <c r="AO39" s="4"/>
      <c r="AP39" s="4"/>
      <c r="AQ39" s="4"/>
      <c r="AR39" s="4"/>
      <c r="AS39" s="4"/>
      <c r="AT39" s="4"/>
      <c r="AU39" s="4"/>
      <c r="AV39" s="4"/>
      <c r="AW39" s="4"/>
    </row>
    <row r="40" spans="1:49" x14ac:dyDescent="0.2">
      <c r="A40" s="37">
        <f t="shared" si="16"/>
        <v>20</v>
      </c>
      <c r="B40" s="31">
        <f t="shared" si="11"/>
        <v>46223</v>
      </c>
      <c r="C40" s="84">
        <f t="shared" si="17"/>
        <v>30</v>
      </c>
      <c r="D40" s="33">
        <f t="shared" si="18"/>
        <v>209.58904109589042</v>
      </c>
      <c r="E40" s="50">
        <f t="shared" si="19"/>
        <v>0</v>
      </c>
      <c r="F40" s="33">
        <f t="shared" si="20"/>
        <v>209.58904109589042</v>
      </c>
      <c r="G40" s="33">
        <f t="shared" si="21"/>
        <v>10000</v>
      </c>
      <c r="H40" s="33"/>
      <c r="I40" s="33"/>
      <c r="J40" s="33"/>
      <c r="K40" s="33"/>
      <c r="L40" s="33"/>
      <c r="M40" s="33"/>
      <c r="N40" s="33"/>
      <c r="O40" s="33"/>
      <c r="P40" s="33"/>
      <c r="Q40" s="33"/>
      <c r="R40" s="33"/>
      <c r="S40" s="33"/>
      <c r="T40" s="42"/>
      <c r="U40" s="42"/>
      <c r="V40" s="42"/>
      <c r="W40" s="41"/>
      <c r="X40" s="31">
        <f t="shared" si="22"/>
        <v>46234</v>
      </c>
      <c r="Y40" s="38">
        <f t="shared" si="23"/>
        <v>0</v>
      </c>
      <c r="Z40" s="38">
        <f t="shared" si="24"/>
        <v>0</v>
      </c>
      <c r="AA40" s="38">
        <f t="shared" si="25"/>
        <v>20</v>
      </c>
      <c r="AB40" s="38">
        <f t="shared" si="26"/>
        <v>11</v>
      </c>
      <c r="AC40" s="38">
        <f t="shared" si="27"/>
        <v>36500</v>
      </c>
      <c r="AD40" s="33">
        <f t="shared" si="28"/>
        <v>0</v>
      </c>
      <c r="AE40" s="33">
        <f t="shared" si="29"/>
        <v>216.57534246575344</v>
      </c>
      <c r="AF40" s="86">
        <f t="shared" si="14"/>
        <v>46223</v>
      </c>
      <c r="AG40" s="4"/>
      <c r="AH40" s="4"/>
      <c r="AI40" s="36"/>
      <c r="AJ40" s="4"/>
      <c r="AK40" s="4"/>
      <c r="AL40" s="4"/>
      <c r="AM40" s="4"/>
      <c r="AN40" s="4"/>
      <c r="AO40" s="4"/>
      <c r="AP40" s="4"/>
      <c r="AQ40" s="4"/>
      <c r="AR40" s="4"/>
      <c r="AS40" s="4"/>
      <c r="AT40" s="4"/>
      <c r="AU40" s="4"/>
      <c r="AV40" s="4"/>
      <c r="AW40" s="4"/>
    </row>
    <row r="41" spans="1:49" x14ac:dyDescent="0.2">
      <c r="A41" s="37">
        <f t="shared" si="16"/>
        <v>21</v>
      </c>
      <c r="B41" s="31">
        <f t="shared" ref="B41:B55" si="30">IF(A41=$E$6,IF(WEEKDAY(AF41,2)=7,AF41+1,IF(WEEKDAY(AF41,2)=6,AF41+2,AF41)),AF41)</f>
        <v>46254</v>
      </c>
      <c r="C41" s="84">
        <f t="shared" ref="C41:C55" si="31">DAY(EOMONTH(B40,0))</f>
        <v>31</v>
      </c>
      <c r="D41" s="33">
        <f t="shared" ref="D41:D55" si="32">IF(B41="","",E41+F41+I41+M41+N41+O41+P41+Q41+R41+S41)</f>
        <v>216.57534246575344</v>
      </c>
      <c r="E41" s="50">
        <f t="shared" ref="E41:E55" si="33">IFERROR((IF(B41="","",IF(E$4="Кредитка",IF(A41&lt;AG$14,G40*10%,G40),IF(A41&lt;$AG$15,0,G40/($AG$14-A41+1))))),0)</f>
        <v>0</v>
      </c>
      <c r="F41" s="33">
        <f t="shared" ref="F41:F55" si="34">IF(A41&gt;$E$6+1,"",IF(A41&lt;&gt;$E$6,AD40+AE40,AD40+AE40+AD41+AE41))</f>
        <v>216.57534246575344</v>
      </c>
      <c r="G41" s="33">
        <f t="shared" ref="G41:G55" si="35">IF(B41="","",G40-E41)</f>
        <v>10000</v>
      </c>
      <c r="H41" s="33"/>
      <c r="I41" s="33"/>
      <c r="J41" s="33"/>
      <c r="K41" s="33"/>
      <c r="L41" s="33"/>
      <c r="M41" s="33"/>
      <c r="N41" s="33"/>
      <c r="O41" s="33"/>
      <c r="P41" s="33"/>
      <c r="Q41" s="33"/>
      <c r="R41" s="33"/>
      <c r="S41" s="33"/>
      <c r="T41" s="42"/>
      <c r="U41" s="42"/>
      <c r="V41" s="42"/>
      <c r="W41" s="41"/>
      <c r="X41" s="31">
        <f t="shared" si="22"/>
        <v>46265</v>
      </c>
      <c r="Y41" s="38">
        <f t="shared" si="23"/>
        <v>0</v>
      </c>
      <c r="Z41" s="38">
        <f t="shared" si="24"/>
        <v>0</v>
      </c>
      <c r="AA41" s="38">
        <f t="shared" si="25"/>
        <v>20</v>
      </c>
      <c r="AB41" s="38">
        <f t="shared" si="26"/>
        <v>11</v>
      </c>
      <c r="AC41" s="38">
        <f t="shared" si="27"/>
        <v>36500</v>
      </c>
      <c r="AD41" s="33">
        <f t="shared" si="28"/>
        <v>0</v>
      </c>
      <c r="AE41" s="33">
        <f t="shared" si="29"/>
        <v>216.57534246575344</v>
      </c>
      <c r="AF41" s="86">
        <f t="shared" si="14"/>
        <v>46254</v>
      </c>
      <c r="AG41" s="4"/>
      <c r="AH41" s="4"/>
      <c r="AI41" s="36"/>
      <c r="AJ41" s="4"/>
      <c r="AK41" s="4"/>
      <c r="AL41" s="4"/>
      <c r="AM41" s="4"/>
      <c r="AN41" s="4"/>
      <c r="AO41" s="4"/>
      <c r="AP41" s="4"/>
      <c r="AQ41" s="4"/>
      <c r="AR41" s="4"/>
      <c r="AS41" s="4"/>
      <c r="AT41" s="4"/>
      <c r="AU41" s="4"/>
      <c r="AV41" s="4"/>
      <c r="AW41" s="4"/>
    </row>
    <row r="42" spans="1:49" x14ac:dyDescent="0.2">
      <c r="A42" s="37">
        <f t="shared" si="16"/>
        <v>22</v>
      </c>
      <c r="B42" s="31">
        <f t="shared" si="30"/>
        <v>46285</v>
      </c>
      <c r="C42" s="84">
        <f t="shared" si="31"/>
        <v>31</v>
      </c>
      <c r="D42" s="33">
        <f t="shared" si="32"/>
        <v>216.57534246575344</v>
      </c>
      <c r="E42" s="50">
        <f t="shared" si="33"/>
        <v>0</v>
      </c>
      <c r="F42" s="33">
        <f t="shared" si="34"/>
        <v>216.57534246575344</v>
      </c>
      <c r="G42" s="33">
        <f t="shared" si="35"/>
        <v>10000</v>
      </c>
      <c r="H42" s="33"/>
      <c r="I42" s="33"/>
      <c r="J42" s="33"/>
      <c r="K42" s="33"/>
      <c r="L42" s="33"/>
      <c r="M42" s="33"/>
      <c r="N42" s="33"/>
      <c r="O42" s="33"/>
      <c r="P42" s="33"/>
      <c r="Q42" s="33"/>
      <c r="R42" s="33"/>
      <c r="S42" s="33"/>
      <c r="T42" s="42"/>
      <c r="U42" s="42"/>
      <c r="V42" s="42"/>
      <c r="W42" s="41"/>
      <c r="X42" s="31">
        <f t="shared" si="22"/>
        <v>46295</v>
      </c>
      <c r="Y42" s="38">
        <f t="shared" si="23"/>
        <v>0</v>
      </c>
      <c r="Z42" s="38">
        <f t="shared" si="24"/>
        <v>0</v>
      </c>
      <c r="AA42" s="38">
        <f t="shared" si="25"/>
        <v>20</v>
      </c>
      <c r="AB42" s="38">
        <f t="shared" si="26"/>
        <v>10</v>
      </c>
      <c r="AC42" s="38">
        <f t="shared" si="27"/>
        <v>36500</v>
      </c>
      <c r="AD42" s="33">
        <f t="shared" si="28"/>
        <v>0</v>
      </c>
      <c r="AE42" s="33">
        <f t="shared" si="29"/>
        <v>209.58904109589042</v>
      </c>
      <c r="AF42" s="86">
        <f t="shared" si="14"/>
        <v>46285</v>
      </c>
      <c r="AG42" s="4"/>
      <c r="AH42" s="4"/>
      <c r="AI42" s="36"/>
      <c r="AJ42" s="4"/>
      <c r="AK42" s="4"/>
      <c r="AL42" s="4"/>
      <c r="AM42" s="4"/>
      <c r="AN42" s="4"/>
      <c r="AO42" s="4"/>
      <c r="AP42" s="4"/>
      <c r="AQ42" s="4"/>
      <c r="AR42" s="4"/>
      <c r="AS42" s="4"/>
      <c r="AT42" s="4"/>
      <c r="AU42" s="4"/>
      <c r="AV42" s="4"/>
      <c r="AW42" s="4"/>
    </row>
    <row r="43" spans="1:49" x14ac:dyDescent="0.2">
      <c r="A43" s="37">
        <f t="shared" si="16"/>
        <v>23</v>
      </c>
      <c r="B43" s="31">
        <f t="shared" si="30"/>
        <v>46315</v>
      </c>
      <c r="C43" s="84">
        <f t="shared" si="31"/>
        <v>30</v>
      </c>
      <c r="D43" s="33">
        <f t="shared" si="32"/>
        <v>209.58904109589042</v>
      </c>
      <c r="E43" s="50">
        <f t="shared" si="33"/>
        <v>0</v>
      </c>
      <c r="F43" s="33">
        <f t="shared" si="34"/>
        <v>209.58904109589042</v>
      </c>
      <c r="G43" s="33">
        <f t="shared" si="35"/>
        <v>10000</v>
      </c>
      <c r="H43" s="33"/>
      <c r="I43" s="33"/>
      <c r="J43" s="33"/>
      <c r="K43" s="33"/>
      <c r="L43" s="33"/>
      <c r="M43" s="33"/>
      <c r="N43" s="33"/>
      <c r="O43" s="33"/>
      <c r="P43" s="33"/>
      <c r="Q43" s="33"/>
      <c r="R43" s="33"/>
      <c r="S43" s="33"/>
      <c r="T43" s="42"/>
      <c r="U43" s="42"/>
      <c r="V43" s="42"/>
      <c r="W43" s="41"/>
      <c r="X43" s="31">
        <f t="shared" si="22"/>
        <v>46326</v>
      </c>
      <c r="Y43" s="38">
        <f t="shared" si="23"/>
        <v>0</v>
      </c>
      <c r="Z43" s="38">
        <f t="shared" si="24"/>
        <v>0</v>
      </c>
      <c r="AA43" s="38">
        <f t="shared" si="25"/>
        <v>20</v>
      </c>
      <c r="AB43" s="38">
        <f t="shared" si="26"/>
        <v>11</v>
      </c>
      <c r="AC43" s="38">
        <f t="shared" si="27"/>
        <v>36500</v>
      </c>
      <c r="AD43" s="33">
        <f t="shared" si="28"/>
        <v>0</v>
      </c>
      <c r="AE43" s="33">
        <f t="shared" si="29"/>
        <v>216.57534246575344</v>
      </c>
      <c r="AF43" s="86">
        <f t="shared" si="14"/>
        <v>46315</v>
      </c>
      <c r="AG43" s="4"/>
      <c r="AH43" s="4"/>
      <c r="AI43" s="36"/>
      <c r="AJ43" s="4"/>
      <c r="AK43" s="4"/>
      <c r="AL43" s="4"/>
      <c r="AM43" s="4"/>
      <c r="AN43" s="4"/>
      <c r="AO43" s="4"/>
      <c r="AP43" s="4"/>
      <c r="AQ43" s="4"/>
      <c r="AR43" s="4"/>
      <c r="AS43" s="4"/>
      <c r="AT43" s="4"/>
      <c r="AU43" s="4"/>
      <c r="AV43" s="4"/>
      <c r="AW43" s="4"/>
    </row>
    <row r="44" spans="1:49" x14ac:dyDescent="0.2">
      <c r="A44" s="37">
        <f t="shared" si="16"/>
        <v>24</v>
      </c>
      <c r="B44" s="31">
        <f t="shared" si="30"/>
        <v>46346</v>
      </c>
      <c r="C44" s="84">
        <f t="shared" si="31"/>
        <v>31</v>
      </c>
      <c r="D44" s="33">
        <f t="shared" si="32"/>
        <v>216.57534246575344</v>
      </c>
      <c r="E44" s="50">
        <f t="shared" si="33"/>
        <v>0</v>
      </c>
      <c r="F44" s="33">
        <f t="shared" si="34"/>
        <v>216.57534246575344</v>
      </c>
      <c r="G44" s="33">
        <f t="shared" si="35"/>
        <v>10000</v>
      </c>
      <c r="H44" s="33"/>
      <c r="I44" s="33"/>
      <c r="J44" s="33"/>
      <c r="K44" s="33"/>
      <c r="L44" s="33"/>
      <c r="M44" s="33"/>
      <c r="N44" s="33"/>
      <c r="O44" s="33"/>
      <c r="P44" s="33"/>
      <c r="Q44" s="33"/>
      <c r="R44" s="33"/>
      <c r="S44" s="33"/>
      <c r="T44" s="42"/>
      <c r="U44" s="42"/>
      <c r="V44" s="42"/>
      <c r="W44" s="41"/>
      <c r="X44" s="31">
        <f t="shared" si="2"/>
        <v>46356</v>
      </c>
      <c r="Y44" s="38">
        <f t="shared" si="3"/>
        <v>0</v>
      </c>
      <c r="Z44" s="38">
        <f t="shared" si="4"/>
        <v>0</v>
      </c>
      <c r="AA44" s="38">
        <f t="shared" si="5"/>
        <v>20</v>
      </c>
      <c r="AB44" s="38">
        <f t="shared" si="6"/>
        <v>10</v>
      </c>
      <c r="AC44" s="38">
        <f t="shared" si="7"/>
        <v>36500</v>
      </c>
      <c r="AD44" s="33">
        <f>IF(Y44&lt;&gt;0,$G44*$E$8*Y44/AC44,IF(Z44&lt;&gt;0,$G43*$E$8*Z44/AC44,0))</f>
        <v>0</v>
      </c>
      <c r="AE44" s="33">
        <f>IF(AD44&lt;&gt;0,0,(G43*$E$8*AA44/AC44)+(G44*$E$8*AB44/AC44))</f>
        <v>209.58904109589042</v>
      </c>
      <c r="AF44" s="86">
        <f t="shared" si="14"/>
        <v>46346</v>
      </c>
      <c r="AG44" s="4"/>
      <c r="AH44" s="4"/>
      <c r="AI44" s="36"/>
      <c r="AJ44" s="4"/>
      <c r="AK44" s="4"/>
      <c r="AL44" s="4"/>
      <c r="AM44" s="4"/>
      <c r="AN44" s="4"/>
      <c r="AO44" s="4"/>
      <c r="AP44" s="4"/>
      <c r="AQ44" s="4"/>
      <c r="AR44" s="4"/>
      <c r="AS44" s="4"/>
      <c r="AT44" s="4"/>
      <c r="AU44" s="4"/>
      <c r="AV44" s="4"/>
      <c r="AW44" s="4"/>
    </row>
    <row r="45" spans="1:49" x14ac:dyDescent="0.2">
      <c r="A45" s="37">
        <f t="shared" si="16"/>
        <v>25</v>
      </c>
      <c r="B45" s="31">
        <f t="shared" si="30"/>
        <v>46376</v>
      </c>
      <c r="C45" s="84">
        <f t="shared" si="31"/>
        <v>30</v>
      </c>
      <c r="D45" s="33">
        <f t="shared" si="32"/>
        <v>209.58904109589042</v>
      </c>
      <c r="E45" s="50">
        <f t="shared" si="33"/>
        <v>0</v>
      </c>
      <c r="F45" s="33">
        <f t="shared" si="34"/>
        <v>209.58904109589042</v>
      </c>
      <c r="G45" s="33">
        <f t="shared" si="35"/>
        <v>10000</v>
      </c>
      <c r="H45" s="33"/>
      <c r="I45" s="33"/>
      <c r="J45" s="33"/>
      <c r="K45" s="33"/>
      <c r="L45" s="33"/>
      <c r="M45" s="33"/>
      <c r="N45" s="33"/>
      <c r="O45" s="33"/>
      <c r="P45" s="33"/>
      <c r="Q45" s="33"/>
      <c r="R45" s="33"/>
      <c r="S45" s="33"/>
      <c r="T45" s="42"/>
      <c r="U45" s="42"/>
      <c r="V45" s="42"/>
      <c r="W45" s="41"/>
      <c r="X45" s="31">
        <f t="shared" ref="X45:X56" si="36">EOMONTH(B45,0)</f>
        <v>46387</v>
      </c>
      <c r="Y45" s="38">
        <f t="shared" ref="Y45:Y56" si="37">IF(B45=$E$5,X45-B45+1,0)</f>
        <v>0</v>
      </c>
      <c r="Z45" s="38">
        <f t="shared" ref="Z45:Z56" si="38">IF(A45=0,0,IF(A45=$E$6,DAY(B45)-1,0))</f>
        <v>0</v>
      </c>
      <c r="AA45" s="38">
        <f t="shared" ref="AA45:AA56" si="39">IF(OR(Y45&lt;&gt;0,Z45&lt;&gt;0),0,20)</f>
        <v>20</v>
      </c>
      <c r="AB45" s="38">
        <f t="shared" ref="AB45:AB56" si="40">IF(AA45=0,0,DAY(X45)-AA45)</f>
        <v>11</v>
      </c>
      <c r="AC45" s="38">
        <f t="shared" ref="AC45:AC56" si="41">CHOOSE(VLOOKUP($L$5,$AG$4:$AH$5,2,0),36000,IF(MONTH(DATE(YEAR(B45),2,29))=2,36600,36500))</f>
        <v>36500</v>
      </c>
      <c r="AD45" s="33">
        <f t="shared" ref="AD45:AD56" si="42">IF(Y45&lt;&gt;0,$G45*$E$8*Y45/AC45,IF(Z45&lt;&gt;0,$G44*$E$8*Z45/AC45,0))</f>
        <v>0</v>
      </c>
      <c r="AE45" s="33">
        <f t="shared" ref="AE45:AE56" si="43">IF(AD45&lt;&gt;0,0,(G44*$E$8*AA45/AC45)+(G45*$E$8*AB45/AC45))</f>
        <v>216.57534246575344</v>
      </c>
      <c r="AF45" s="86">
        <f t="shared" ref="AF45:AF56" si="44">IF(A45=E$6,DATE($AI$13,$AH$13+A45,$AG$13-1),IF(A45&gt;$E$6,"",DATE($AI$13,$AH$13+A45,"20")))</f>
        <v>46376</v>
      </c>
      <c r="AG45" s="1"/>
      <c r="AH45" s="1"/>
      <c r="AI45" s="1"/>
      <c r="AK45" s="4"/>
      <c r="AL45" s="4"/>
      <c r="AM45" s="4"/>
      <c r="AN45" s="4"/>
      <c r="AO45" s="4"/>
      <c r="AP45" s="4"/>
      <c r="AQ45" s="4"/>
      <c r="AR45" s="4"/>
      <c r="AS45" s="4"/>
      <c r="AT45" s="4"/>
      <c r="AU45" s="4"/>
      <c r="AV45" s="4"/>
      <c r="AW45" s="4"/>
    </row>
    <row r="46" spans="1:49" x14ac:dyDescent="0.2">
      <c r="A46" s="37">
        <f t="shared" si="16"/>
        <v>26</v>
      </c>
      <c r="B46" s="31">
        <f t="shared" si="30"/>
        <v>46407</v>
      </c>
      <c r="C46" s="84">
        <f t="shared" si="31"/>
        <v>31</v>
      </c>
      <c r="D46" s="33">
        <f t="shared" si="32"/>
        <v>216.57534246575344</v>
      </c>
      <c r="E46" s="50">
        <f t="shared" si="33"/>
        <v>0</v>
      </c>
      <c r="F46" s="33">
        <f t="shared" si="34"/>
        <v>216.57534246575344</v>
      </c>
      <c r="G46" s="33">
        <f t="shared" si="35"/>
        <v>10000</v>
      </c>
      <c r="H46" s="33"/>
      <c r="I46" s="33"/>
      <c r="J46" s="33"/>
      <c r="K46" s="33"/>
      <c r="L46" s="33"/>
      <c r="M46" s="33"/>
      <c r="N46" s="33"/>
      <c r="O46" s="33"/>
      <c r="P46" s="33"/>
      <c r="Q46" s="33"/>
      <c r="R46" s="33"/>
      <c r="S46" s="33"/>
      <c r="T46" s="42"/>
      <c r="U46" s="42"/>
      <c r="V46" s="42"/>
      <c r="W46" s="41"/>
      <c r="X46" s="31">
        <f t="shared" si="36"/>
        <v>46418</v>
      </c>
      <c r="Y46" s="38">
        <f t="shared" si="37"/>
        <v>0</v>
      </c>
      <c r="Z46" s="38">
        <f t="shared" si="38"/>
        <v>0</v>
      </c>
      <c r="AA46" s="38">
        <f t="shared" si="39"/>
        <v>20</v>
      </c>
      <c r="AB46" s="38">
        <f t="shared" si="40"/>
        <v>11</v>
      </c>
      <c r="AC46" s="38">
        <f t="shared" si="41"/>
        <v>36500</v>
      </c>
      <c r="AD46" s="33">
        <f t="shared" si="42"/>
        <v>0</v>
      </c>
      <c r="AE46" s="33">
        <f t="shared" si="43"/>
        <v>216.57534246575344</v>
      </c>
      <c r="AF46" s="86">
        <f t="shared" si="44"/>
        <v>46407</v>
      </c>
      <c r="AG46" s="1"/>
      <c r="AH46" s="1"/>
      <c r="AI46" s="1"/>
      <c r="AK46" s="4"/>
      <c r="AL46" s="4"/>
      <c r="AM46" s="4"/>
      <c r="AN46" s="4"/>
      <c r="AO46" s="4"/>
      <c r="AP46" s="4"/>
      <c r="AQ46" s="4"/>
      <c r="AR46" s="4"/>
      <c r="AS46" s="4"/>
      <c r="AT46" s="4"/>
      <c r="AU46" s="4"/>
      <c r="AV46" s="4"/>
      <c r="AW46" s="4"/>
    </row>
    <row r="47" spans="1:49" x14ac:dyDescent="0.2">
      <c r="A47" s="37">
        <f t="shared" si="16"/>
        <v>27</v>
      </c>
      <c r="B47" s="31">
        <f t="shared" si="30"/>
        <v>46438</v>
      </c>
      <c r="C47" s="84">
        <f t="shared" si="31"/>
        <v>31</v>
      </c>
      <c r="D47" s="33">
        <f t="shared" si="32"/>
        <v>216.57534246575344</v>
      </c>
      <c r="E47" s="50">
        <f t="shared" si="33"/>
        <v>0</v>
      </c>
      <c r="F47" s="33">
        <f t="shared" si="34"/>
        <v>216.57534246575344</v>
      </c>
      <c r="G47" s="33">
        <f t="shared" si="35"/>
        <v>10000</v>
      </c>
      <c r="H47" s="33"/>
      <c r="I47" s="33"/>
      <c r="J47" s="33"/>
      <c r="K47" s="33"/>
      <c r="L47" s="33"/>
      <c r="M47" s="33"/>
      <c r="N47" s="33"/>
      <c r="O47" s="33"/>
      <c r="P47" s="33"/>
      <c r="Q47" s="33"/>
      <c r="R47" s="33"/>
      <c r="S47" s="33"/>
      <c r="T47" s="42"/>
      <c r="U47" s="42"/>
      <c r="V47" s="42"/>
      <c r="W47" s="41"/>
      <c r="X47" s="31">
        <f t="shared" si="36"/>
        <v>46446</v>
      </c>
      <c r="Y47" s="38">
        <f t="shared" si="37"/>
        <v>0</v>
      </c>
      <c r="Z47" s="38">
        <f t="shared" si="38"/>
        <v>0</v>
      </c>
      <c r="AA47" s="38">
        <f t="shared" si="39"/>
        <v>20</v>
      </c>
      <c r="AB47" s="38">
        <f t="shared" si="40"/>
        <v>8</v>
      </c>
      <c r="AC47" s="38">
        <f t="shared" si="41"/>
        <v>36500</v>
      </c>
      <c r="AD47" s="33">
        <f t="shared" si="42"/>
        <v>0</v>
      </c>
      <c r="AE47" s="33">
        <f t="shared" si="43"/>
        <v>195.61643835616439</v>
      </c>
      <c r="AF47" s="86">
        <f t="shared" si="44"/>
        <v>46438</v>
      </c>
      <c r="AG47" s="1"/>
      <c r="AH47" s="1"/>
      <c r="AI47" s="1"/>
      <c r="AK47" s="4"/>
      <c r="AL47" s="4"/>
      <c r="AM47" s="4"/>
      <c r="AN47" s="4"/>
      <c r="AO47" s="4"/>
      <c r="AP47" s="4"/>
      <c r="AQ47" s="4"/>
      <c r="AR47" s="4"/>
      <c r="AS47" s="4"/>
      <c r="AT47" s="4"/>
      <c r="AU47" s="4"/>
      <c r="AV47" s="4"/>
      <c r="AW47" s="4"/>
    </row>
    <row r="48" spans="1:49" x14ac:dyDescent="0.2">
      <c r="A48" s="37">
        <f t="shared" si="16"/>
        <v>28</v>
      </c>
      <c r="B48" s="31">
        <f t="shared" si="30"/>
        <v>46466</v>
      </c>
      <c r="C48" s="84">
        <f t="shared" si="31"/>
        <v>28</v>
      </c>
      <c r="D48" s="33">
        <f t="shared" si="32"/>
        <v>195.61643835616439</v>
      </c>
      <c r="E48" s="50">
        <f t="shared" si="33"/>
        <v>0</v>
      </c>
      <c r="F48" s="33">
        <f t="shared" si="34"/>
        <v>195.61643835616439</v>
      </c>
      <c r="G48" s="33">
        <f t="shared" si="35"/>
        <v>10000</v>
      </c>
      <c r="H48" s="33"/>
      <c r="I48" s="33"/>
      <c r="J48" s="33"/>
      <c r="K48" s="33"/>
      <c r="L48" s="33"/>
      <c r="M48" s="33"/>
      <c r="N48" s="33"/>
      <c r="O48" s="33"/>
      <c r="P48" s="33"/>
      <c r="Q48" s="33"/>
      <c r="R48" s="33"/>
      <c r="S48" s="33"/>
      <c r="T48" s="42"/>
      <c r="U48" s="42"/>
      <c r="V48" s="42"/>
      <c r="W48" s="41"/>
      <c r="X48" s="31">
        <f t="shared" si="36"/>
        <v>46477</v>
      </c>
      <c r="Y48" s="38">
        <f t="shared" si="37"/>
        <v>0</v>
      </c>
      <c r="Z48" s="38">
        <f t="shared" si="38"/>
        <v>0</v>
      </c>
      <c r="AA48" s="38">
        <f t="shared" si="39"/>
        <v>20</v>
      </c>
      <c r="AB48" s="38">
        <f t="shared" si="40"/>
        <v>11</v>
      </c>
      <c r="AC48" s="38">
        <f t="shared" si="41"/>
        <v>36500</v>
      </c>
      <c r="AD48" s="33">
        <f t="shared" si="42"/>
        <v>0</v>
      </c>
      <c r="AE48" s="33">
        <f t="shared" si="43"/>
        <v>216.57534246575344</v>
      </c>
      <c r="AF48" s="86">
        <f t="shared" si="44"/>
        <v>46466</v>
      </c>
      <c r="AG48" s="1"/>
      <c r="AH48" s="1"/>
      <c r="AI48" s="1"/>
      <c r="AK48" s="4"/>
      <c r="AL48" s="4"/>
      <c r="AM48" s="4"/>
      <c r="AN48" s="4"/>
      <c r="AO48" s="4"/>
      <c r="AP48" s="4"/>
      <c r="AQ48" s="4"/>
      <c r="AR48" s="4"/>
      <c r="AS48" s="4"/>
      <c r="AT48" s="4"/>
      <c r="AU48" s="4"/>
      <c r="AV48" s="4"/>
      <c r="AW48" s="4"/>
    </row>
    <row r="49" spans="1:49" x14ac:dyDescent="0.2">
      <c r="A49" s="37">
        <f t="shared" si="16"/>
        <v>29</v>
      </c>
      <c r="B49" s="31">
        <f t="shared" si="30"/>
        <v>46497</v>
      </c>
      <c r="C49" s="84">
        <f t="shared" si="31"/>
        <v>31</v>
      </c>
      <c r="D49" s="33">
        <f t="shared" si="32"/>
        <v>216.57534246575344</v>
      </c>
      <c r="E49" s="50">
        <f t="shared" si="33"/>
        <v>0</v>
      </c>
      <c r="F49" s="33">
        <f t="shared" si="34"/>
        <v>216.57534246575344</v>
      </c>
      <c r="G49" s="33">
        <f t="shared" si="35"/>
        <v>10000</v>
      </c>
      <c r="H49" s="33"/>
      <c r="I49" s="33"/>
      <c r="J49" s="33"/>
      <c r="K49" s="33"/>
      <c r="L49" s="33"/>
      <c r="M49" s="33"/>
      <c r="N49" s="33"/>
      <c r="O49" s="33"/>
      <c r="P49" s="33"/>
      <c r="Q49" s="33"/>
      <c r="R49" s="33"/>
      <c r="S49" s="33"/>
      <c r="T49" s="42"/>
      <c r="U49" s="42"/>
      <c r="V49" s="42"/>
      <c r="W49" s="41"/>
      <c r="X49" s="31">
        <f t="shared" si="36"/>
        <v>46507</v>
      </c>
      <c r="Y49" s="38">
        <f t="shared" si="37"/>
        <v>0</v>
      </c>
      <c r="Z49" s="38">
        <f t="shared" si="38"/>
        <v>0</v>
      </c>
      <c r="AA49" s="38">
        <f t="shared" si="39"/>
        <v>20</v>
      </c>
      <c r="AB49" s="38">
        <f t="shared" si="40"/>
        <v>10</v>
      </c>
      <c r="AC49" s="38">
        <f t="shared" si="41"/>
        <v>36500</v>
      </c>
      <c r="AD49" s="33">
        <f t="shared" si="42"/>
        <v>0</v>
      </c>
      <c r="AE49" s="33">
        <f t="shared" si="43"/>
        <v>209.58904109589042</v>
      </c>
      <c r="AF49" s="86">
        <f t="shared" si="44"/>
        <v>46497</v>
      </c>
      <c r="AG49" s="1"/>
      <c r="AH49" s="1"/>
      <c r="AI49" s="1"/>
      <c r="AK49" s="4"/>
      <c r="AL49" s="4"/>
      <c r="AM49" s="4"/>
      <c r="AN49" s="4"/>
      <c r="AO49" s="4"/>
      <c r="AP49" s="4"/>
      <c r="AQ49" s="4"/>
      <c r="AR49" s="4"/>
      <c r="AS49" s="4"/>
      <c r="AT49" s="4"/>
      <c r="AU49" s="4"/>
      <c r="AV49" s="4"/>
      <c r="AW49" s="4"/>
    </row>
    <row r="50" spans="1:49" x14ac:dyDescent="0.2">
      <c r="A50" s="37">
        <f t="shared" si="16"/>
        <v>30</v>
      </c>
      <c r="B50" s="31">
        <f t="shared" si="30"/>
        <v>46527</v>
      </c>
      <c r="C50" s="84">
        <f t="shared" si="31"/>
        <v>30</v>
      </c>
      <c r="D50" s="33">
        <f t="shared" si="32"/>
        <v>209.58904109589042</v>
      </c>
      <c r="E50" s="50">
        <f t="shared" si="33"/>
        <v>0</v>
      </c>
      <c r="F50" s="33">
        <f t="shared" si="34"/>
        <v>209.58904109589042</v>
      </c>
      <c r="G50" s="33">
        <f t="shared" si="35"/>
        <v>10000</v>
      </c>
      <c r="H50" s="33"/>
      <c r="I50" s="33"/>
      <c r="J50" s="33"/>
      <c r="K50" s="33"/>
      <c r="L50" s="33"/>
      <c r="M50" s="33"/>
      <c r="N50" s="33"/>
      <c r="O50" s="33"/>
      <c r="P50" s="33"/>
      <c r="Q50" s="33"/>
      <c r="R50" s="33"/>
      <c r="S50" s="33"/>
      <c r="T50" s="42"/>
      <c r="U50" s="42"/>
      <c r="V50" s="42"/>
      <c r="W50" s="41"/>
      <c r="X50" s="31">
        <f t="shared" si="36"/>
        <v>46538</v>
      </c>
      <c r="Y50" s="38">
        <f t="shared" si="37"/>
        <v>0</v>
      </c>
      <c r="Z50" s="38">
        <f t="shared" si="38"/>
        <v>0</v>
      </c>
      <c r="AA50" s="38">
        <f t="shared" si="39"/>
        <v>20</v>
      </c>
      <c r="AB50" s="38">
        <f t="shared" si="40"/>
        <v>11</v>
      </c>
      <c r="AC50" s="38">
        <f t="shared" si="41"/>
        <v>36500</v>
      </c>
      <c r="AD50" s="33">
        <f t="shared" si="42"/>
        <v>0</v>
      </c>
      <c r="AE50" s="33">
        <f t="shared" si="43"/>
        <v>216.57534246575344</v>
      </c>
      <c r="AF50" s="86">
        <f t="shared" si="44"/>
        <v>46527</v>
      </c>
      <c r="AG50" s="1"/>
      <c r="AH50" s="1"/>
      <c r="AI50" s="1"/>
      <c r="AK50" s="4"/>
      <c r="AL50" s="4"/>
      <c r="AM50" s="4"/>
      <c r="AN50" s="4"/>
      <c r="AO50" s="4"/>
      <c r="AP50" s="4"/>
      <c r="AQ50" s="4"/>
      <c r="AR50" s="4"/>
      <c r="AS50" s="4"/>
      <c r="AT50" s="4"/>
      <c r="AU50" s="4"/>
      <c r="AV50" s="4"/>
      <c r="AW50" s="4"/>
    </row>
    <row r="51" spans="1:49" x14ac:dyDescent="0.2">
      <c r="A51" s="37">
        <f t="shared" si="16"/>
        <v>31</v>
      </c>
      <c r="B51" s="31">
        <f t="shared" si="30"/>
        <v>46558</v>
      </c>
      <c r="C51" s="84">
        <f t="shared" si="31"/>
        <v>31</v>
      </c>
      <c r="D51" s="33">
        <f t="shared" si="32"/>
        <v>216.57534246575344</v>
      </c>
      <c r="E51" s="50">
        <f t="shared" si="33"/>
        <v>0</v>
      </c>
      <c r="F51" s="33">
        <f t="shared" si="34"/>
        <v>216.57534246575344</v>
      </c>
      <c r="G51" s="33">
        <f t="shared" si="35"/>
        <v>10000</v>
      </c>
      <c r="H51" s="33"/>
      <c r="I51" s="33"/>
      <c r="J51" s="33"/>
      <c r="K51" s="33"/>
      <c r="L51" s="33"/>
      <c r="M51" s="33"/>
      <c r="N51" s="33"/>
      <c r="O51" s="33"/>
      <c r="P51" s="33"/>
      <c r="Q51" s="33"/>
      <c r="R51" s="33"/>
      <c r="S51" s="33"/>
      <c r="T51" s="42"/>
      <c r="U51" s="42"/>
      <c r="V51" s="42"/>
      <c r="W51" s="41"/>
      <c r="X51" s="31">
        <f t="shared" si="36"/>
        <v>46568</v>
      </c>
      <c r="Y51" s="38">
        <f t="shared" si="37"/>
        <v>0</v>
      </c>
      <c r="Z51" s="38">
        <f t="shared" si="38"/>
        <v>0</v>
      </c>
      <c r="AA51" s="38">
        <f t="shared" si="39"/>
        <v>20</v>
      </c>
      <c r="AB51" s="38">
        <f t="shared" si="40"/>
        <v>10</v>
      </c>
      <c r="AC51" s="38">
        <f t="shared" si="41"/>
        <v>36500</v>
      </c>
      <c r="AD51" s="33">
        <f t="shared" si="42"/>
        <v>0</v>
      </c>
      <c r="AE51" s="33">
        <f t="shared" si="43"/>
        <v>209.58904109589042</v>
      </c>
      <c r="AF51" s="86">
        <f t="shared" si="44"/>
        <v>46558</v>
      </c>
      <c r="AG51" s="1"/>
      <c r="AH51" s="1"/>
      <c r="AI51" s="1"/>
      <c r="AK51" s="4"/>
      <c r="AL51" s="4"/>
      <c r="AM51" s="4"/>
      <c r="AN51" s="4"/>
      <c r="AO51" s="4"/>
      <c r="AP51" s="4"/>
      <c r="AQ51" s="4"/>
      <c r="AR51" s="4"/>
      <c r="AS51" s="4"/>
      <c r="AT51" s="4"/>
      <c r="AU51" s="4"/>
      <c r="AV51" s="4"/>
      <c r="AW51" s="4"/>
    </row>
    <row r="52" spans="1:49" x14ac:dyDescent="0.2">
      <c r="A52" s="37">
        <f t="shared" si="16"/>
        <v>32</v>
      </c>
      <c r="B52" s="31">
        <f t="shared" si="30"/>
        <v>46588</v>
      </c>
      <c r="C52" s="84">
        <f t="shared" si="31"/>
        <v>30</v>
      </c>
      <c r="D52" s="33">
        <f t="shared" si="32"/>
        <v>209.58904109589042</v>
      </c>
      <c r="E52" s="50">
        <f t="shared" si="33"/>
        <v>0</v>
      </c>
      <c r="F52" s="33">
        <f t="shared" si="34"/>
        <v>209.58904109589042</v>
      </c>
      <c r="G52" s="33">
        <f t="shared" si="35"/>
        <v>10000</v>
      </c>
      <c r="H52" s="33"/>
      <c r="I52" s="33"/>
      <c r="J52" s="33"/>
      <c r="K52" s="33"/>
      <c r="L52" s="33"/>
      <c r="M52" s="33"/>
      <c r="N52" s="33"/>
      <c r="O52" s="33"/>
      <c r="P52" s="33"/>
      <c r="Q52" s="33"/>
      <c r="R52" s="33"/>
      <c r="S52" s="33"/>
      <c r="T52" s="42"/>
      <c r="U52" s="42"/>
      <c r="V52" s="42"/>
      <c r="W52" s="41"/>
      <c r="X52" s="31">
        <f t="shared" si="36"/>
        <v>46599</v>
      </c>
      <c r="Y52" s="38">
        <f t="shared" si="37"/>
        <v>0</v>
      </c>
      <c r="Z52" s="38">
        <f t="shared" si="38"/>
        <v>0</v>
      </c>
      <c r="AA52" s="38">
        <f t="shared" si="39"/>
        <v>20</v>
      </c>
      <c r="AB52" s="38">
        <f t="shared" si="40"/>
        <v>11</v>
      </c>
      <c r="AC52" s="38">
        <f t="shared" si="41"/>
        <v>36500</v>
      </c>
      <c r="AD52" s="33">
        <f t="shared" si="42"/>
        <v>0</v>
      </c>
      <c r="AE52" s="33">
        <f t="shared" si="43"/>
        <v>216.57534246575344</v>
      </c>
      <c r="AF52" s="86">
        <f t="shared" si="44"/>
        <v>46588</v>
      </c>
      <c r="AG52" s="1"/>
      <c r="AH52" s="1"/>
      <c r="AI52" s="1"/>
      <c r="AK52" s="4"/>
      <c r="AL52" s="4"/>
      <c r="AM52" s="4"/>
      <c r="AN52" s="4"/>
      <c r="AO52" s="4"/>
      <c r="AP52" s="4"/>
      <c r="AQ52" s="4"/>
      <c r="AR52" s="4"/>
      <c r="AS52" s="4"/>
      <c r="AT52" s="4"/>
      <c r="AU52" s="4"/>
      <c r="AV52" s="4"/>
      <c r="AW52" s="4"/>
    </row>
    <row r="53" spans="1:49" x14ac:dyDescent="0.2">
      <c r="A53" s="37">
        <f t="shared" si="16"/>
        <v>33</v>
      </c>
      <c r="B53" s="31">
        <f t="shared" si="30"/>
        <v>46619</v>
      </c>
      <c r="C53" s="84">
        <f t="shared" si="31"/>
        <v>31</v>
      </c>
      <c r="D53" s="33">
        <f t="shared" si="32"/>
        <v>216.57534246575344</v>
      </c>
      <c r="E53" s="50">
        <f t="shared" si="33"/>
        <v>0</v>
      </c>
      <c r="F53" s="33">
        <f t="shared" si="34"/>
        <v>216.57534246575344</v>
      </c>
      <c r="G53" s="33">
        <f t="shared" si="35"/>
        <v>10000</v>
      </c>
      <c r="H53" s="33"/>
      <c r="I53" s="33"/>
      <c r="J53" s="33"/>
      <c r="K53" s="33"/>
      <c r="L53" s="33"/>
      <c r="M53" s="33"/>
      <c r="N53" s="33"/>
      <c r="O53" s="33"/>
      <c r="P53" s="33"/>
      <c r="Q53" s="33"/>
      <c r="R53" s="33"/>
      <c r="S53" s="33"/>
      <c r="T53" s="42"/>
      <c r="U53" s="42"/>
      <c r="V53" s="42"/>
      <c r="W53" s="41"/>
      <c r="X53" s="31">
        <f t="shared" si="36"/>
        <v>46630</v>
      </c>
      <c r="Y53" s="38">
        <f t="shared" si="37"/>
        <v>0</v>
      </c>
      <c r="Z53" s="38">
        <f t="shared" si="38"/>
        <v>0</v>
      </c>
      <c r="AA53" s="38">
        <f t="shared" si="39"/>
        <v>20</v>
      </c>
      <c r="AB53" s="38">
        <f t="shared" si="40"/>
        <v>11</v>
      </c>
      <c r="AC53" s="38">
        <f t="shared" si="41"/>
        <v>36500</v>
      </c>
      <c r="AD53" s="33">
        <f t="shared" si="42"/>
        <v>0</v>
      </c>
      <c r="AE53" s="33">
        <f t="shared" si="43"/>
        <v>216.57534246575344</v>
      </c>
      <c r="AF53" s="86">
        <f t="shared" si="44"/>
        <v>46619</v>
      </c>
      <c r="AG53" s="1"/>
      <c r="AH53" s="1"/>
      <c r="AI53" s="1"/>
      <c r="AK53" s="4"/>
      <c r="AL53" s="4"/>
      <c r="AM53" s="4"/>
      <c r="AN53" s="4"/>
      <c r="AO53" s="4"/>
      <c r="AP53" s="4"/>
      <c r="AQ53" s="4"/>
      <c r="AR53" s="4"/>
      <c r="AS53" s="4"/>
      <c r="AT53" s="4"/>
      <c r="AU53" s="4"/>
      <c r="AV53" s="4"/>
      <c r="AW53" s="4"/>
    </row>
    <row r="54" spans="1:49" x14ac:dyDescent="0.2">
      <c r="A54" s="37">
        <f t="shared" si="16"/>
        <v>34</v>
      </c>
      <c r="B54" s="31">
        <f t="shared" si="30"/>
        <v>46650</v>
      </c>
      <c r="C54" s="84">
        <f t="shared" si="31"/>
        <v>31</v>
      </c>
      <c r="D54" s="33">
        <f t="shared" si="32"/>
        <v>216.57534246575344</v>
      </c>
      <c r="E54" s="50">
        <f t="shared" si="33"/>
        <v>0</v>
      </c>
      <c r="F54" s="33">
        <f t="shared" si="34"/>
        <v>216.57534246575344</v>
      </c>
      <c r="G54" s="33">
        <f t="shared" si="35"/>
        <v>10000</v>
      </c>
      <c r="H54" s="33"/>
      <c r="I54" s="33"/>
      <c r="J54" s="33"/>
      <c r="K54" s="33"/>
      <c r="L54" s="33"/>
      <c r="M54" s="33"/>
      <c r="N54" s="33"/>
      <c r="O54" s="33"/>
      <c r="P54" s="33"/>
      <c r="Q54" s="33"/>
      <c r="R54" s="33"/>
      <c r="S54" s="33"/>
      <c r="T54" s="42"/>
      <c r="U54" s="42"/>
      <c r="V54" s="42"/>
      <c r="W54" s="41"/>
      <c r="X54" s="31">
        <f t="shared" si="36"/>
        <v>46660</v>
      </c>
      <c r="Y54" s="38">
        <f t="shared" si="37"/>
        <v>0</v>
      </c>
      <c r="Z54" s="38">
        <f t="shared" si="38"/>
        <v>0</v>
      </c>
      <c r="AA54" s="38">
        <f t="shared" si="39"/>
        <v>20</v>
      </c>
      <c r="AB54" s="38">
        <f t="shared" si="40"/>
        <v>10</v>
      </c>
      <c r="AC54" s="38">
        <f t="shared" si="41"/>
        <v>36500</v>
      </c>
      <c r="AD54" s="33">
        <f t="shared" si="42"/>
        <v>0</v>
      </c>
      <c r="AE54" s="33">
        <f t="shared" si="43"/>
        <v>209.58904109589042</v>
      </c>
      <c r="AF54" s="86">
        <f t="shared" si="44"/>
        <v>46650</v>
      </c>
      <c r="AG54" s="1"/>
      <c r="AH54" s="1"/>
      <c r="AI54" s="1"/>
      <c r="AK54" s="4"/>
      <c r="AL54" s="4"/>
      <c r="AM54" s="4"/>
      <c r="AN54" s="4"/>
      <c r="AO54" s="4"/>
      <c r="AP54" s="4"/>
      <c r="AQ54" s="4"/>
      <c r="AR54" s="4"/>
      <c r="AS54" s="4"/>
      <c r="AT54" s="4"/>
      <c r="AU54" s="4"/>
      <c r="AV54" s="4"/>
      <c r="AW54" s="4"/>
    </row>
    <row r="55" spans="1:49" x14ac:dyDescent="0.2">
      <c r="A55" s="37">
        <f t="shared" si="16"/>
        <v>35</v>
      </c>
      <c r="B55" s="31">
        <f t="shared" si="30"/>
        <v>46680</v>
      </c>
      <c r="C55" s="84">
        <f t="shared" si="31"/>
        <v>30</v>
      </c>
      <c r="D55" s="33">
        <f t="shared" si="32"/>
        <v>209.58904109589042</v>
      </c>
      <c r="E55" s="50">
        <f t="shared" si="33"/>
        <v>0</v>
      </c>
      <c r="F55" s="33">
        <f t="shared" si="34"/>
        <v>209.58904109589042</v>
      </c>
      <c r="G55" s="33">
        <f t="shared" si="35"/>
        <v>10000</v>
      </c>
      <c r="H55" s="33"/>
      <c r="I55" s="33"/>
      <c r="J55" s="33"/>
      <c r="K55" s="33"/>
      <c r="L55" s="33"/>
      <c r="M55" s="33"/>
      <c r="N55" s="33"/>
      <c r="O55" s="33"/>
      <c r="P55" s="33"/>
      <c r="Q55" s="33"/>
      <c r="R55" s="33"/>
      <c r="S55" s="33"/>
      <c r="T55" s="42"/>
      <c r="U55" s="42"/>
      <c r="V55" s="42"/>
      <c r="W55" s="41"/>
      <c r="X55" s="31">
        <f t="shared" si="36"/>
        <v>46691</v>
      </c>
      <c r="Y55" s="38">
        <f t="shared" si="37"/>
        <v>0</v>
      </c>
      <c r="Z55" s="38">
        <f t="shared" si="38"/>
        <v>0</v>
      </c>
      <c r="AA55" s="38">
        <f t="shared" si="39"/>
        <v>20</v>
      </c>
      <c r="AB55" s="38">
        <f t="shared" si="40"/>
        <v>11</v>
      </c>
      <c r="AC55" s="38">
        <f t="shared" si="41"/>
        <v>36500</v>
      </c>
      <c r="AD55" s="33">
        <f t="shared" si="42"/>
        <v>0</v>
      </c>
      <c r="AE55" s="33">
        <f t="shared" si="43"/>
        <v>216.57534246575344</v>
      </c>
      <c r="AF55" s="86">
        <f t="shared" si="44"/>
        <v>46680</v>
      </c>
      <c r="AG55" s="1"/>
      <c r="AH55" s="1"/>
      <c r="AI55" s="1"/>
      <c r="AK55" s="4"/>
      <c r="AL55" s="4"/>
      <c r="AM55" s="4"/>
      <c r="AN55" s="4"/>
      <c r="AO55" s="4"/>
      <c r="AP55" s="4"/>
      <c r="AQ55" s="4"/>
      <c r="AR55" s="4"/>
      <c r="AS55" s="4"/>
      <c r="AT55" s="4"/>
      <c r="AU55" s="4"/>
      <c r="AV55" s="4"/>
      <c r="AW55" s="4"/>
    </row>
    <row r="56" spans="1:49" x14ac:dyDescent="0.2">
      <c r="A56" s="37">
        <f t="shared" si="16"/>
        <v>36</v>
      </c>
      <c r="B56" s="31">
        <f t="shared" ref="B56" si="45">IF(A56=$E$6,IF(WEEKDAY(AF56,2)=7,AF56+1,IF(WEEKDAY(AF56,2)=6,AF56+2,AF56)),AF56)</f>
        <v>46703</v>
      </c>
      <c r="C56" s="84">
        <f t="shared" ref="C56" si="46">IF(DAY(E17)=1,DAY(EOMONTH(B43,0)),DAY(EOMONTH(B43,0))+DAY(B56))</f>
        <v>43</v>
      </c>
      <c r="D56" s="33">
        <f t="shared" ref="D56" si="47">IF(B56="","",E56+F56+I56+M56+N56+O56+P56+Q56+R56+S56)</f>
        <v>10293.424657534246</v>
      </c>
      <c r="E56" s="50">
        <f t="shared" ref="E56" si="48">IFERROR((IF(B56="","",IF(E$4="Кредитка",IF(A56&lt;AG$14,G55*10%,G55),IF(A56&lt;$AG$15,0,G55/($AG$14-A56+1))))),0)</f>
        <v>10000</v>
      </c>
      <c r="F56" s="33">
        <f>IF((DAY(E5)=1)+(DAY(E17)=2),AD55+AE55,IF(A56&gt;$E$6+1,"",IF(A56&lt;&gt;$E$6,AD55+AE55,AD55+AE55+AD56+AE56)))</f>
        <v>293.42465753424659</v>
      </c>
      <c r="G56" s="33">
        <f t="shared" ref="G56" si="49">IF(B56="","",G55-E56)</f>
        <v>0</v>
      </c>
      <c r="H56" s="33"/>
      <c r="I56" s="33"/>
      <c r="J56" s="33"/>
      <c r="K56" s="33"/>
      <c r="L56" s="33"/>
      <c r="M56" s="33"/>
      <c r="N56" s="33"/>
      <c r="O56" s="33"/>
      <c r="P56" s="33"/>
      <c r="Q56" s="33"/>
      <c r="R56" s="33"/>
      <c r="S56" s="33"/>
      <c r="T56" s="42"/>
      <c r="U56" s="42"/>
      <c r="V56" s="42"/>
      <c r="W56" s="41"/>
      <c r="X56" s="31">
        <f t="shared" si="36"/>
        <v>46721</v>
      </c>
      <c r="Y56" s="38">
        <f t="shared" si="37"/>
        <v>0</v>
      </c>
      <c r="Z56" s="38">
        <f t="shared" si="38"/>
        <v>11</v>
      </c>
      <c r="AA56" s="38">
        <f t="shared" si="39"/>
        <v>0</v>
      </c>
      <c r="AB56" s="38">
        <f t="shared" si="40"/>
        <v>0</v>
      </c>
      <c r="AC56" s="38">
        <f t="shared" si="41"/>
        <v>36500</v>
      </c>
      <c r="AD56" s="33">
        <f t="shared" si="42"/>
        <v>76.849315068493155</v>
      </c>
      <c r="AE56" s="33">
        <f t="shared" si="43"/>
        <v>0</v>
      </c>
      <c r="AF56" s="86">
        <f t="shared" si="44"/>
        <v>46703</v>
      </c>
      <c r="AG56" s="1"/>
      <c r="AH56" s="1"/>
      <c r="AI56" s="1"/>
      <c r="AK56" s="4"/>
      <c r="AL56" s="4"/>
      <c r="AM56" s="4"/>
      <c r="AN56" s="4"/>
      <c r="AO56" s="4"/>
      <c r="AP56" s="4"/>
      <c r="AQ56" s="4"/>
      <c r="AR56" s="4"/>
      <c r="AS56" s="4"/>
      <c r="AT56" s="4"/>
      <c r="AU56" s="4"/>
      <c r="AV56" s="4"/>
      <c r="AW56" s="4"/>
    </row>
    <row r="57" spans="1:49" x14ac:dyDescent="0.2">
      <c r="A57" s="54" t="s">
        <v>53</v>
      </c>
      <c r="B57" s="55"/>
      <c r="C57" s="56"/>
      <c r="D57" s="33">
        <f>SUM(D21:D56)</f>
        <v>17642.078374129796</v>
      </c>
      <c r="E57" s="33">
        <f>SUM(E21:E56)</f>
        <v>10000</v>
      </c>
      <c r="F57" s="33">
        <f>SUM(F21:F56)</f>
        <v>7642.0783741297964</v>
      </c>
      <c r="G57" s="33"/>
      <c r="H57" s="33"/>
      <c r="I57" s="33"/>
      <c r="J57" s="33"/>
      <c r="K57" s="33"/>
      <c r="L57" s="33"/>
      <c r="M57" s="33"/>
      <c r="N57" s="33"/>
      <c r="O57" s="33"/>
      <c r="P57" s="33"/>
      <c r="Q57" s="33"/>
      <c r="R57" s="33"/>
      <c r="S57" s="33"/>
      <c r="T57" s="33"/>
      <c r="U57" s="33"/>
      <c r="V57" s="33"/>
      <c r="W57" s="41"/>
      <c r="X57" s="41"/>
      <c r="Y57" s="41"/>
      <c r="Z57" s="41"/>
      <c r="AA57" s="41"/>
      <c r="AB57" s="41"/>
      <c r="AC57" s="41"/>
      <c r="AD57" s="41"/>
      <c r="AE57" s="41"/>
      <c r="AF57" s="63"/>
      <c r="AG57" s="4"/>
      <c r="AH57" s="4"/>
      <c r="AI57" s="4"/>
      <c r="AJ57" s="4"/>
      <c r="AK57" s="4"/>
      <c r="AL57" s="4"/>
      <c r="AM57" s="4"/>
      <c r="AN57" s="4"/>
      <c r="AO57" s="4"/>
      <c r="AP57" s="4"/>
      <c r="AQ57" s="4"/>
      <c r="AR57" s="4"/>
      <c r="AS57" s="4"/>
      <c r="AT57" s="4"/>
      <c r="AU57" s="4"/>
      <c r="AV57" s="4"/>
      <c r="AW57" s="4"/>
    </row>
    <row r="58" spans="1:49" x14ac:dyDescent="0.2">
      <c r="C58" s="43"/>
      <c r="D58" s="44"/>
      <c r="E58" s="44"/>
      <c r="F58" s="44"/>
      <c r="G58" s="44"/>
      <c r="H58" s="44"/>
      <c r="I58" s="44"/>
      <c r="J58" s="44"/>
      <c r="K58" s="44"/>
      <c r="L58" s="44"/>
      <c r="M58" s="44"/>
      <c r="N58" s="44"/>
      <c r="O58" s="44"/>
      <c r="P58" s="44"/>
      <c r="Q58" s="44"/>
      <c r="R58" s="44"/>
      <c r="S58" s="44"/>
      <c r="T58" s="44"/>
      <c r="U58" s="44"/>
      <c r="V58" s="44"/>
      <c r="W58" s="41"/>
      <c r="X58" s="41"/>
      <c r="Y58" s="41"/>
      <c r="Z58" s="41"/>
      <c r="AA58" s="41"/>
      <c r="AB58" s="41"/>
      <c r="AC58" s="41"/>
      <c r="AD58" s="41"/>
      <c r="AE58" s="41"/>
      <c r="AF58" s="63"/>
      <c r="AG58" s="4"/>
      <c r="AH58" s="4"/>
      <c r="AI58" s="4"/>
      <c r="AJ58" s="4"/>
      <c r="AK58" s="4"/>
      <c r="AL58" s="4"/>
      <c r="AM58" s="4"/>
      <c r="AN58" s="4"/>
      <c r="AO58" s="4"/>
      <c r="AP58" s="4"/>
      <c r="AQ58" s="4"/>
      <c r="AR58" s="4"/>
      <c r="AS58" s="4"/>
      <c r="AT58" s="4"/>
      <c r="AU58" s="4"/>
      <c r="AV58" s="4"/>
    </row>
    <row r="59" spans="1:49" ht="198" customHeight="1" x14ac:dyDescent="0.2">
      <c r="A59" s="92" t="s">
        <v>54</v>
      </c>
      <c r="B59" s="92"/>
      <c r="C59" s="92"/>
      <c r="D59" s="92"/>
      <c r="E59" s="92"/>
      <c r="F59" s="92"/>
      <c r="G59" s="92"/>
      <c r="H59" s="92"/>
      <c r="I59" s="92"/>
      <c r="J59" s="92"/>
      <c r="K59" s="92"/>
      <c r="L59" s="92"/>
      <c r="M59" s="92"/>
      <c r="N59" s="92"/>
      <c r="O59" s="92"/>
      <c r="P59" s="92"/>
      <c r="Q59" s="92"/>
      <c r="R59" s="92"/>
      <c r="S59" s="92"/>
      <c r="T59" s="92"/>
      <c r="U59" s="92"/>
      <c r="V59" s="92"/>
      <c r="W59" s="45"/>
      <c r="X59" s="45"/>
      <c r="Y59" s="45"/>
      <c r="Z59" s="68"/>
      <c r="AA59" s="45"/>
      <c r="AB59" s="45"/>
      <c r="AC59" s="45"/>
    </row>
    <row r="60" spans="1:49" ht="14.45" customHeight="1" x14ac:dyDescent="0.3">
      <c r="A60" s="46"/>
      <c r="B60" s="85"/>
      <c r="C60" s="43"/>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row>
    <row r="61" spans="1:49" ht="12.75" customHeight="1" x14ac:dyDescent="0.2">
      <c r="A61" s="47"/>
      <c r="B61" s="1"/>
      <c r="C61" s="43"/>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row>
    <row r="62" spans="1:49" ht="15.75" customHeight="1" x14ac:dyDescent="0.2">
      <c r="A62" s="48"/>
      <c r="C62" s="43"/>
      <c r="D62" s="44"/>
      <c r="E62" s="44"/>
      <c r="F62" s="44"/>
      <c r="G62" s="44"/>
      <c r="H62" s="44"/>
      <c r="I62" s="44"/>
      <c r="J62" s="44"/>
      <c r="K62" s="44"/>
      <c r="L62" s="48"/>
      <c r="M62" s="44"/>
      <c r="N62" s="44"/>
      <c r="O62" s="44"/>
      <c r="P62" s="44"/>
      <c r="Q62" s="44"/>
      <c r="R62" s="44"/>
      <c r="S62" s="44"/>
      <c r="T62" s="44"/>
      <c r="U62" s="44"/>
      <c r="V62" s="44"/>
      <c r="W62" s="44"/>
      <c r="X62" s="44"/>
      <c r="Y62" s="44"/>
      <c r="Z62" s="44"/>
      <c r="AA62" s="44"/>
      <c r="AB62" s="44"/>
      <c r="AC62" s="44"/>
    </row>
    <row r="63" spans="1:49" ht="12.75" customHeight="1" x14ac:dyDescent="0.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row>
    <row r="64" spans="1:49" ht="12.75" customHeight="1" x14ac:dyDescent="0.2">
      <c r="C64" s="43"/>
      <c r="D64" s="44"/>
      <c r="E64" s="44"/>
      <c r="F64" s="44"/>
      <c r="G64" s="44"/>
      <c r="H64" s="44"/>
      <c r="I64" s="41"/>
      <c r="J64" s="44"/>
      <c r="K64" s="44"/>
      <c r="L64" s="44"/>
      <c r="M64" s="44"/>
      <c r="N64" s="44"/>
      <c r="O64" s="44"/>
      <c r="P64" s="44"/>
      <c r="Q64" s="44"/>
      <c r="R64" s="44"/>
      <c r="S64" s="44"/>
      <c r="T64" s="44"/>
      <c r="U64" s="44"/>
      <c r="V64" s="44"/>
      <c r="W64" s="44"/>
      <c r="X64" s="44"/>
      <c r="Y64" s="44"/>
      <c r="Z64" s="44"/>
      <c r="AA64" s="44"/>
      <c r="AB64" s="44"/>
      <c r="AC64" s="44"/>
    </row>
    <row r="65" spans="2:29" ht="12.75" customHeight="1" x14ac:dyDescent="0.2">
      <c r="C65" s="43"/>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row>
    <row r="66" spans="2:29" ht="12.75" customHeight="1" x14ac:dyDescent="0.2">
      <c r="C66" s="43"/>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row>
    <row r="67" spans="2:29" ht="12.75" customHeight="1" x14ac:dyDescent="0.2">
      <c r="B67" s="88"/>
      <c r="C67" s="88"/>
      <c r="D67" s="88"/>
      <c r="E67" s="88"/>
      <c r="F67" s="44"/>
      <c r="G67" s="44"/>
      <c r="H67" s="44"/>
      <c r="I67" s="44"/>
      <c r="J67" s="44"/>
      <c r="K67" s="44"/>
      <c r="L67" s="44"/>
      <c r="M67" s="44"/>
      <c r="N67" s="44"/>
      <c r="O67" s="44"/>
      <c r="P67" s="44"/>
      <c r="Q67" s="44"/>
      <c r="R67" s="44"/>
      <c r="S67" s="44"/>
      <c r="T67" s="44"/>
      <c r="U67" s="44"/>
      <c r="V67" s="44"/>
      <c r="W67" s="44"/>
      <c r="X67" s="44"/>
      <c r="Y67" s="44"/>
      <c r="Z67" s="44"/>
      <c r="AA67" s="44"/>
      <c r="AB67" s="44"/>
      <c r="AC67" s="44"/>
    </row>
    <row r="68" spans="2:29" ht="12.75" customHeight="1" x14ac:dyDescent="0.2">
      <c r="B68" s="88"/>
      <c r="C68" s="88"/>
      <c r="D68" s="88"/>
      <c r="E68" s="88"/>
      <c r="F68" s="44"/>
      <c r="G68" s="44"/>
      <c r="H68" s="44"/>
      <c r="I68" s="44"/>
      <c r="J68" s="44"/>
      <c r="K68" s="44"/>
      <c r="L68" s="44"/>
      <c r="M68" s="44"/>
      <c r="N68" s="44"/>
      <c r="O68" s="44"/>
      <c r="P68" s="44"/>
      <c r="Q68" s="44"/>
      <c r="R68" s="44"/>
      <c r="S68" s="44"/>
      <c r="T68" s="44"/>
      <c r="U68" s="44"/>
      <c r="V68" s="44"/>
      <c r="W68" s="44"/>
      <c r="X68" s="44"/>
      <c r="Y68" s="44"/>
      <c r="Z68" s="44"/>
      <c r="AA68" s="44"/>
      <c r="AB68" s="44"/>
      <c r="AC68" s="44"/>
    </row>
    <row r="69" spans="2:29" ht="12.75" customHeight="1" x14ac:dyDescent="0.2">
      <c r="C69" s="43"/>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row>
    <row r="70" spans="2:29" ht="12.75" customHeight="1" x14ac:dyDescent="0.2">
      <c r="C70" s="43"/>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row>
    <row r="71" spans="2:29" ht="12.75" customHeight="1" x14ac:dyDescent="0.2">
      <c r="C71" s="43"/>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row>
    <row r="72" spans="2:29" ht="12.75" customHeight="1" x14ac:dyDescent="0.2">
      <c r="C72" s="43"/>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row>
    <row r="73" spans="2:29" ht="12.75" customHeight="1" x14ac:dyDescent="0.2">
      <c r="C73" s="43"/>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row>
    <row r="74" spans="2:29" ht="12.75" customHeight="1" x14ac:dyDescent="0.2">
      <c r="C74" s="43"/>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row>
    <row r="75" spans="2:29" ht="12.75" customHeight="1" x14ac:dyDescent="0.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row>
    <row r="76" spans="2:29" ht="12.75" customHeight="1" x14ac:dyDescent="0.2">
      <c r="C76" s="43"/>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row>
    <row r="77" spans="2:29" ht="12.75" customHeight="1" x14ac:dyDescent="0.2">
      <c r="C77" s="43"/>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row>
    <row r="78" spans="2:29" ht="12.75" customHeight="1" x14ac:dyDescent="0.2">
      <c r="C78" s="43"/>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row>
    <row r="79" spans="2:29" ht="12.75" customHeight="1" x14ac:dyDescent="0.2">
      <c r="C79" s="43"/>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row>
    <row r="80" spans="2:29" ht="12.75" customHeight="1" x14ac:dyDescent="0.2">
      <c r="C80" s="43"/>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row>
    <row r="81" spans="3:29" ht="12.75" customHeight="1" x14ac:dyDescent="0.2">
      <c r="C81" s="43"/>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row>
    <row r="82" spans="3:29" ht="12.75" customHeight="1" x14ac:dyDescent="0.2">
      <c r="C82" s="43"/>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row>
    <row r="83" spans="3:29" ht="12.75" customHeight="1" x14ac:dyDescent="0.2">
      <c r="C83" s="43"/>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row>
    <row r="84" spans="3:29" ht="12.75" customHeight="1" x14ac:dyDescent="0.2">
      <c r="C84" s="43"/>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row>
    <row r="85" spans="3:29" ht="12.75" customHeight="1" x14ac:dyDescent="0.2">
      <c r="C85" s="43"/>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row>
    <row r="86" spans="3:29" ht="12.75" customHeight="1" x14ac:dyDescent="0.2">
      <c r="C86" s="43"/>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row>
    <row r="87" spans="3:29" ht="12.75" customHeight="1" x14ac:dyDescent="0.2">
      <c r="C87" s="43"/>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row>
    <row r="88" spans="3:29" ht="12.75" customHeight="1" x14ac:dyDescent="0.2">
      <c r="C88" s="43"/>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row>
    <row r="89" spans="3:29" ht="12.75" customHeight="1" x14ac:dyDescent="0.2">
      <c r="C89" s="43"/>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row>
    <row r="90" spans="3:29" ht="12.75" customHeight="1" x14ac:dyDescent="0.2">
      <c r="C90" s="43"/>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row>
    <row r="91" spans="3:29" ht="12.75" customHeight="1" x14ac:dyDescent="0.2">
      <c r="C91" s="43"/>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row>
    <row r="92" spans="3:29" ht="12.75" customHeight="1" x14ac:dyDescent="0.2">
      <c r="C92" s="43"/>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row>
    <row r="93" spans="3:29" ht="12.75" customHeight="1" x14ac:dyDescent="0.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row>
    <row r="94" spans="3:29" ht="12.75" customHeight="1" x14ac:dyDescent="0.2">
      <c r="C94" s="43"/>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row>
    <row r="95" spans="3:29" ht="12.75" customHeight="1" x14ac:dyDescent="0.2">
      <c r="C95" s="43"/>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row>
    <row r="96" spans="3:29" ht="12.75" customHeight="1" x14ac:dyDescent="0.2">
      <c r="C96" s="43"/>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row>
    <row r="97" spans="3:29" ht="12.75" customHeight="1" x14ac:dyDescent="0.2">
      <c r="C97" s="43"/>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row>
    <row r="98" spans="3:29" ht="12.75" customHeight="1" x14ac:dyDescent="0.2">
      <c r="C98" s="43"/>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row>
    <row r="99" spans="3:29" ht="12.75" customHeight="1" x14ac:dyDescent="0.2">
      <c r="C99" s="43"/>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row>
    <row r="100" spans="3:29" ht="12.75" customHeight="1" x14ac:dyDescent="0.2">
      <c r="C100" s="43"/>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row>
    <row r="101" spans="3:29" ht="12.75" customHeight="1" x14ac:dyDescent="0.2">
      <c r="C101" s="43"/>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row>
    <row r="102" spans="3:29" ht="12.75" customHeight="1" x14ac:dyDescent="0.2">
      <c r="C102" s="43"/>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row>
    <row r="103" spans="3:29" ht="12.75" customHeight="1" x14ac:dyDescent="0.2">
      <c r="C103" s="43"/>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row>
    <row r="104" spans="3:29" ht="12.75" customHeight="1" x14ac:dyDescent="0.2">
      <c r="C104" s="43"/>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row>
    <row r="105" spans="3:29" ht="12.75" customHeight="1" x14ac:dyDescent="0.2">
      <c r="C105" s="43"/>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row>
    <row r="106" spans="3:29" ht="12.75" customHeight="1" x14ac:dyDescent="0.2">
      <c r="C106" s="43"/>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row>
    <row r="107" spans="3:29" ht="12.75" customHeight="1" x14ac:dyDescent="0.2">
      <c r="C107" s="43"/>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row>
    <row r="108" spans="3:29" ht="12.75" customHeight="1" x14ac:dyDescent="0.2">
      <c r="C108" s="43"/>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row>
    <row r="109" spans="3:29" ht="12.75" customHeight="1" x14ac:dyDescent="0.2">
      <c r="C109" s="43"/>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row>
    <row r="110" spans="3:29" ht="12.75" customHeight="1" x14ac:dyDescent="0.2">
      <c r="C110" s="43"/>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row>
    <row r="111" spans="3:29" ht="12.75" customHeight="1" x14ac:dyDescent="0.2">
      <c r="C111" s="43"/>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row>
    <row r="112" spans="3:29" ht="12.75" customHeight="1" x14ac:dyDescent="0.2">
      <c r="C112" s="43"/>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row>
    <row r="113" spans="1:29" ht="12.75" customHeight="1" x14ac:dyDescent="0.2">
      <c r="C113" s="43"/>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row>
    <row r="114" spans="1:29" ht="12.75" customHeight="1" x14ac:dyDescent="0.2">
      <c r="C114" s="43"/>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row>
    <row r="115" spans="1:29" ht="12.75" customHeight="1" x14ac:dyDescent="0.2">
      <c r="C115" s="43"/>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row>
    <row r="116" spans="1:29" ht="12.75" customHeight="1" x14ac:dyDescent="0.2">
      <c r="C116" s="43"/>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row>
    <row r="117" spans="1:29" ht="12.75" customHeight="1" x14ac:dyDescent="0.2">
      <c r="C117" s="43"/>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row>
    <row r="118" spans="1:29" ht="12.75" customHeight="1" x14ac:dyDescent="0.2">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row>
    <row r="119" spans="1:29" ht="12.75" customHeight="1" x14ac:dyDescent="0.2">
      <c r="B119" s="1"/>
      <c r="C119" s="1"/>
    </row>
    <row r="120" spans="1:29" ht="12.75" customHeight="1" x14ac:dyDescent="0.2">
      <c r="B120" s="1"/>
      <c r="C120" s="1"/>
    </row>
    <row r="121" spans="1:29" ht="12.75" customHeight="1" x14ac:dyDescent="0.2">
      <c r="B121" s="1"/>
      <c r="C121" s="1"/>
    </row>
    <row r="122" spans="1:29" ht="12.75" customHeight="1" x14ac:dyDescent="0.2">
      <c r="B122" s="1"/>
      <c r="C122" s="1"/>
    </row>
    <row r="123" spans="1:29" ht="12.75" customHeight="1" x14ac:dyDescent="0.2">
      <c r="B123" s="1"/>
      <c r="C123" s="1"/>
    </row>
    <row r="124" spans="1:29" ht="12.75" customHeight="1" x14ac:dyDescent="0.2">
      <c r="B124" s="1"/>
      <c r="C124" s="1"/>
    </row>
    <row r="125" spans="1:29" ht="12.75" customHeight="1" x14ac:dyDescent="0.2">
      <c r="B125" s="1"/>
      <c r="C125" s="1"/>
    </row>
    <row r="126" spans="1:29" ht="12.75" customHeight="1" x14ac:dyDescent="0.2">
      <c r="B126" s="1"/>
      <c r="C126" s="1"/>
    </row>
    <row r="127" spans="1:29" ht="12.75" customHeight="1" x14ac:dyDescent="0.2">
      <c r="B127" s="1"/>
      <c r="C127" s="1"/>
    </row>
    <row r="128" spans="1:29" ht="12.75" customHeight="1" x14ac:dyDescent="0.2">
      <c r="B128" s="1"/>
      <c r="C128" s="1"/>
    </row>
    <row r="129" spans="2:3" ht="12.75" customHeight="1" x14ac:dyDescent="0.2">
      <c r="B129" s="1"/>
      <c r="C129" s="1"/>
    </row>
    <row r="130" spans="2:3" ht="12.75" customHeight="1" x14ac:dyDescent="0.2">
      <c r="B130" s="1"/>
      <c r="C130" s="1"/>
    </row>
    <row r="131" spans="2:3" ht="12.75" customHeight="1" x14ac:dyDescent="0.2">
      <c r="B131" s="1"/>
      <c r="C131" s="1"/>
    </row>
    <row r="132" spans="2:3" ht="12.75" customHeight="1" x14ac:dyDescent="0.2">
      <c r="B132" s="1"/>
      <c r="C132" s="1"/>
    </row>
    <row r="133" spans="2:3" ht="12.75" customHeight="1" x14ac:dyDescent="0.2">
      <c r="B133" s="1"/>
      <c r="C133" s="1"/>
    </row>
    <row r="134" spans="2:3" ht="12.75" customHeight="1" x14ac:dyDescent="0.2">
      <c r="B134" s="1"/>
      <c r="C134" s="1"/>
    </row>
    <row r="135" spans="2:3" ht="12.75" customHeight="1" x14ac:dyDescent="0.2">
      <c r="B135" s="1"/>
      <c r="C135" s="1"/>
    </row>
    <row r="136" spans="2:3" ht="12.75" customHeight="1" x14ac:dyDescent="0.2">
      <c r="B136" s="1"/>
      <c r="C136" s="1"/>
    </row>
    <row r="137" spans="2:3" ht="12.75" customHeight="1" x14ac:dyDescent="0.2">
      <c r="B137" s="1"/>
      <c r="C137" s="1"/>
    </row>
    <row r="138" spans="2:3" ht="12.75" customHeight="1" x14ac:dyDescent="0.2">
      <c r="B138" s="1"/>
      <c r="C138" s="1"/>
    </row>
    <row r="139" spans="2:3" ht="12.75" customHeight="1" x14ac:dyDescent="0.2">
      <c r="B139" s="1"/>
      <c r="C139" s="1"/>
    </row>
    <row r="140" spans="2:3" ht="12.75" customHeight="1" x14ac:dyDescent="0.2">
      <c r="B140" s="1"/>
      <c r="C140" s="1"/>
    </row>
    <row r="141" spans="2:3" ht="12.75" customHeight="1" x14ac:dyDescent="0.2">
      <c r="B141" s="1"/>
      <c r="C141" s="1"/>
    </row>
    <row r="142" spans="2:3" ht="12.75" customHeight="1" x14ac:dyDescent="0.2">
      <c r="B142" s="1"/>
      <c r="C142" s="1"/>
    </row>
    <row r="143" spans="2:3" ht="12.75" customHeight="1" x14ac:dyDescent="0.2">
      <c r="B143" s="1"/>
      <c r="C143" s="1"/>
    </row>
    <row r="144" spans="2:3" ht="12.75" customHeight="1" x14ac:dyDescent="0.2">
      <c r="B144" s="1"/>
      <c r="C144" s="1"/>
    </row>
    <row r="145" spans="2:3" ht="12.75" customHeight="1" x14ac:dyDescent="0.2">
      <c r="B145" s="1"/>
      <c r="C145" s="1"/>
    </row>
    <row r="146" spans="2:3" ht="12.75" customHeight="1" x14ac:dyDescent="0.2">
      <c r="B146" s="1"/>
      <c r="C146" s="1"/>
    </row>
    <row r="147" spans="2:3" ht="12.75" customHeight="1" x14ac:dyDescent="0.2">
      <c r="B147" s="1"/>
      <c r="C147" s="1"/>
    </row>
    <row r="148" spans="2:3" ht="12.75" customHeight="1" x14ac:dyDescent="0.2">
      <c r="B148" s="1"/>
      <c r="C148" s="1"/>
    </row>
    <row r="149" spans="2:3" ht="12.75" customHeight="1" x14ac:dyDescent="0.2">
      <c r="B149" s="1"/>
      <c r="C149" s="1"/>
    </row>
    <row r="150" spans="2:3" ht="12.75" customHeight="1" x14ac:dyDescent="0.2">
      <c r="B150" s="1"/>
      <c r="C150" s="1"/>
    </row>
    <row r="151" spans="2:3" ht="12.75" customHeight="1" x14ac:dyDescent="0.2">
      <c r="B151" s="1"/>
      <c r="C151" s="1"/>
    </row>
    <row r="152" spans="2:3" ht="12.75" customHeight="1" x14ac:dyDescent="0.2">
      <c r="B152" s="1"/>
      <c r="C152" s="1"/>
    </row>
    <row r="153" spans="2:3" ht="12.75" customHeight="1" x14ac:dyDescent="0.2">
      <c r="B153" s="1"/>
      <c r="C153" s="1"/>
    </row>
    <row r="154" spans="2:3" ht="12.75" customHeight="1" x14ac:dyDescent="0.2">
      <c r="B154" s="1"/>
      <c r="C154" s="1"/>
    </row>
    <row r="155" spans="2:3" ht="12.75" customHeight="1" x14ac:dyDescent="0.2">
      <c r="B155" s="1"/>
      <c r="C155" s="1"/>
    </row>
    <row r="156" spans="2:3" ht="12.75" customHeight="1" x14ac:dyDescent="0.2">
      <c r="B156" s="1"/>
      <c r="C156" s="1"/>
    </row>
    <row r="157" spans="2:3" ht="12.75" customHeight="1" x14ac:dyDescent="0.2">
      <c r="B157" s="1"/>
      <c r="C157" s="1"/>
    </row>
    <row r="158" spans="2:3" ht="12.75" customHeight="1" x14ac:dyDescent="0.2"/>
    <row r="159" spans="2:3" ht="12.75" customHeight="1" x14ac:dyDescent="0.2"/>
    <row r="160" spans="2:3"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17" ht="12.75" hidden="1" customHeight="1" x14ac:dyDescent="0.2"/>
    <row r="218" ht="12.75" hidden="1" customHeight="1" x14ac:dyDescent="0.2"/>
    <row r="219" ht="12.75" hidden="1" customHeight="1" x14ac:dyDescent="0.2"/>
    <row r="220" ht="12.75" hidden="1" customHeight="1" x14ac:dyDescent="0.2"/>
    <row r="221" ht="12.75" hidden="1" customHeight="1" x14ac:dyDescent="0.2"/>
    <row r="222" ht="12.75" hidden="1" customHeight="1" x14ac:dyDescent="0.2"/>
    <row r="223" ht="12.75" hidden="1" customHeight="1" x14ac:dyDescent="0.2"/>
    <row r="224" ht="12.75" hidden="1" customHeight="1" x14ac:dyDescent="0.2"/>
    <row r="225" ht="12.75" hidden="1" customHeight="1" x14ac:dyDescent="0.2"/>
    <row r="226" ht="12.75" hidden="1" customHeight="1" x14ac:dyDescent="0.2"/>
    <row r="227" ht="12.75" hidden="1" customHeight="1" x14ac:dyDescent="0.2"/>
    <row r="228" ht="12.75" hidden="1" customHeight="1" x14ac:dyDescent="0.2"/>
    <row r="229" ht="12.75" hidden="1" customHeight="1" x14ac:dyDescent="0.2"/>
    <row r="230" ht="12.75" hidden="1" customHeight="1" x14ac:dyDescent="0.2"/>
    <row r="231" ht="12.75" hidden="1" customHeight="1" x14ac:dyDescent="0.2"/>
    <row r="232" ht="12.75" hidden="1" customHeight="1" x14ac:dyDescent="0.2"/>
    <row r="233" ht="12.75" hidden="1" customHeight="1" x14ac:dyDescent="0.2"/>
    <row r="234" ht="12.75" hidden="1" customHeight="1" x14ac:dyDescent="0.2"/>
    <row r="235" ht="12.75" hidden="1" customHeight="1" x14ac:dyDescent="0.2"/>
    <row r="236" ht="12.75" hidden="1" customHeight="1" x14ac:dyDescent="0.2"/>
    <row r="237" ht="12.75" hidden="1" customHeight="1" x14ac:dyDescent="0.2"/>
    <row r="238" ht="12.75" hidden="1" customHeight="1" x14ac:dyDescent="0.2"/>
  </sheetData>
  <sheetProtection algorithmName="SHA-512" hashValue="0K9NZ2234IoE2zmeNvya01S7nBD1iMx5KdY28QFZ+djhi7lWnkLDwtEdHpEShTLnOKg+xHFAVg1cO+ph3IkeFg==" saltValue="f57rC3HVo3Q4nsUvH0sGjw==" spinCount="100000" sheet="1" objects="1" scenarios="1"/>
  <protectedRanges>
    <protectedRange password="CA50" sqref="W18:AC18 A18:M18" name="Формулы17стр"/>
    <protectedRange password="CA50" sqref="N18:S18" name="Формулы17стр_1"/>
  </protectedRanges>
  <mergeCells count="27">
    <mergeCell ref="AD13:AD17"/>
    <mergeCell ref="AE13:AE17"/>
    <mergeCell ref="Y13:Y17"/>
    <mergeCell ref="Z13:Z17"/>
    <mergeCell ref="AC13:AC17"/>
    <mergeCell ref="AA13:AA17"/>
    <mergeCell ref="AB13:AB17"/>
    <mergeCell ref="K1:V1"/>
    <mergeCell ref="H14:M16"/>
    <mergeCell ref="H5:K5"/>
    <mergeCell ref="H6:K6"/>
    <mergeCell ref="V13:V17"/>
    <mergeCell ref="H7:K7"/>
    <mergeCell ref="E13:S13"/>
    <mergeCell ref="B2:L2"/>
    <mergeCell ref="B67:E68"/>
    <mergeCell ref="A13:A17"/>
    <mergeCell ref="C13:C17"/>
    <mergeCell ref="B13:B17"/>
    <mergeCell ref="D13:D17"/>
    <mergeCell ref="E14:E17"/>
    <mergeCell ref="A59:V59"/>
    <mergeCell ref="T13:T17"/>
    <mergeCell ref="G14:G17"/>
    <mergeCell ref="F14:F17"/>
    <mergeCell ref="N14:S16"/>
    <mergeCell ref="U13:U17"/>
  </mergeCells>
  <phoneticPr fontId="3" type="noConversion"/>
  <dataValidations count="4">
    <dataValidation type="list" operator="equal" allowBlank="1" showInputMessage="1" showErrorMessage="1" errorTitle="Больше чем период кредитования !" error="Необходимо ввести количество месяцев меньшее или равное количеству месяцев кредитования" sqref="E9" xr:uid="{00000000-0002-0000-0000-000000000000}">
      <formula1>"1, 13, 36"</formula1>
    </dataValidation>
    <dataValidation type="list" allowBlank="1" showInputMessage="1" showErrorMessage="1" sqref="E4" xr:uid="{00000000-0002-0000-0000-000003000000}">
      <formula1>$AG$7:$AG$7</formula1>
    </dataValidation>
    <dataValidation type="list" allowBlank="1" showInputMessage="1" showErrorMessage="1" sqref="AH7 AH9" xr:uid="{00000000-0002-0000-0000-000004000000}">
      <formula1>$AG$7:$AG$9</formula1>
    </dataValidation>
    <dataValidation type="list" allowBlank="1" showInputMessage="1" showErrorMessage="1" sqref="AG7 AG9" xr:uid="{00000000-0002-0000-0000-000005000000}">
      <formula1>$E$4</formula1>
    </dataValidation>
  </dataValidations>
  <printOptions horizontalCentered="1"/>
  <pageMargins left="0.31496062992125984" right="0.19685039370078741" top="0.27559055118110237" bottom="0.19685039370078741" header="0.15748031496062992" footer="0.15748031496062992"/>
  <pageSetup paperSize="9" scale="36" orientation="portrait" r:id="rId1"/>
  <headerFooter alignWithMargins="0"/>
  <ignoredErrors>
    <ignoredError sqref="X52:X56 AB52:AB56" evalErro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Документ" ma:contentTypeID="0x01010073339B09BF5DFE40A74A157FFB5FACCC" ma:contentTypeVersion="10" ma:contentTypeDescription="Створення нового документа." ma:contentTypeScope="" ma:versionID="d25b0d37e9a854c25fd66077c25825a6">
  <xsd:schema xmlns:xsd="http://www.w3.org/2001/XMLSchema" xmlns:xs="http://www.w3.org/2001/XMLSchema" xmlns:p="http://schemas.microsoft.com/office/2006/metadata/properties" xmlns:ns2="59566b67-2dc7-4dc3-996b-4b68c612d6fb" targetNamespace="http://schemas.microsoft.com/office/2006/metadata/properties" ma:root="true" ma:fieldsID="ab9563495d1b2781d31e624ebd30d747" ns2:_="">
    <xsd:import namespace="59566b67-2dc7-4dc3-996b-4b68c612d6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566b67-2dc7-4dc3-996b-4b68c612d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607247-C02A-48D6-B011-8317FB3A6C5D}">
  <ds:schemaRefs>
    <ds:schemaRef ds:uri="http://schemas.microsoft.com/sharepoint/v3/contenttype/forms"/>
  </ds:schemaRefs>
</ds:datastoreItem>
</file>

<file path=customXml/itemProps2.xml><?xml version="1.0" encoding="utf-8"?>
<ds:datastoreItem xmlns:ds="http://schemas.openxmlformats.org/officeDocument/2006/customXml" ds:itemID="{2BBE5E6A-8FCE-430E-86C6-975FDB16B3D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65D8C18-2DC3-4F67-9575-F0638F1526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566b67-2dc7-4dc3-996b-4b68c612d6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aebc165-46b7-4fdf-ae88-da9a4a0fb142}" enabled="0" method="" siteId="{8aebc165-46b7-4fdf-ae88-da9a4a0fb14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Rate</vt:lpstr>
      <vt:lpstr>Rate!OLE_LINK3</vt:lpstr>
      <vt:lpstr>Rate!Print_Area</vt:lpstr>
    </vt:vector>
  </TitlesOfParts>
  <Manager/>
  <Company>2</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dc:creator>
  <cp:keywords/>
  <dc:description/>
  <cp:lastModifiedBy>cloudconvert_15</cp:lastModifiedBy>
  <cp:revision/>
  <dcterms:created xsi:type="dcterms:W3CDTF">2007-06-04T10:12:07Z</dcterms:created>
  <dcterms:modified xsi:type="dcterms:W3CDTF">2024-11-14T06:51:39Z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0x01010073339B09BF5DFE40A74A157FFB5FACCC</vt:lpwstr>
  </property>
</Properties>
</file>